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210" activeTab="1"/>
  </bookViews>
  <sheets>
    <sheet name="Витрати" sheetId="1" r:id="rId1"/>
    <sheet name="Доходи" sheetId="2" r:id="rId2"/>
  </sheets>
  <definedNames/>
  <calcPr fullCalcOnLoad="1"/>
</workbook>
</file>

<file path=xl/sharedStrings.xml><?xml version="1.0" encoding="utf-8"?>
<sst xmlns="http://schemas.openxmlformats.org/spreadsheetml/2006/main" count="203" uniqueCount="179">
  <si>
    <t>№</t>
  </si>
  <si>
    <t>в %</t>
  </si>
  <si>
    <t>Калиновская Матющенко 02 Олейникова 03</t>
  </si>
  <si>
    <t>Всього витрат фонду (грн)</t>
  </si>
  <si>
    <t>Звіт про витрати</t>
  </si>
  <si>
    <t>Стаття витрат</t>
  </si>
  <si>
    <t>Перерахована сума, гривень</t>
  </si>
  <si>
    <t>Витрат за програмою "Допомога хворим дітям"</t>
  </si>
  <si>
    <t>Адміністративні витрати фонду</t>
  </si>
  <si>
    <t>Єдиний соціальний внесок</t>
  </si>
  <si>
    <t>Витрат за програмою "Допомога хворим дорослим. Проєкт« Валерія Help »</t>
  </si>
  <si>
    <t>Допомога Збройним Силам України  (ТрО, військовим підрозділам)</t>
  </si>
  <si>
    <t>Поштові витрати</t>
  </si>
  <si>
    <t xml:space="preserve">Бойко Лариса </t>
  </si>
  <si>
    <t>Банківські послуги</t>
  </si>
  <si>
    <t xml:space="preserve">Заробітна плата співробітників фонду (включаючи НДФЛ,військовий збір) </t>
  </si>
  <si>
    <t>Послуги з обслуговування сайту</t>
  </si>
  <si>
    <t>ЗАПРАВКА КАРТРИДЖА</t>
  </si>
  <si>
    <t>Мала Яна</t>
  </si>
  <si>
    <t>ВIДШКОДУВАННЯ орендодавцю ЗА ЕКСПЛУАТАЦIЙНI ПОСЛУГИ З УТРИМАННЯ ПРИМIЩЕНЬ</t>
  </si>
  <si>
    <t>Кирилов Тимофій</t>
  </si>
  <si>
    <t>Каунова Валентина</t>
  </si>
  <si>
    <t>Тихомиров Валентин</t>
  </si>
  <si>
    <t>Приходько Прохор</t>
  </si>
  <si>
    <t>за період з 01.01.2023 по 31.12.2023</t>
  </si>
  <si>
    <t>ОРЕНДНА ПЛАТА ЗА 2023 РIК</t>
  </si>
  <si>
    <t>ПОТЬОМКIНА ВАЛЕНТИНА</t>
  </si>
  <si>
    <t>Москаленко Людмила</t>
  </si>
  <si>
    <t>Гришко Валентина</t>
  </si>
  <si>
    <t>Міщук Тамара</t>
  </si>
  <si>
    <t>Купівля приладу нічного бачення в кількості 4 шт</t>
  </si>
  <si>
    <t>Закупівля лікарських препаратів</t>
  </si>
  <si>
    <t xml:space="preserve">Купівля очищеної води в офіс  10 бут. </t>
  </si>
  <si>
    <t>Купівля кабелю для підключення генератора</t>
  </si>
  <si>
    <t xml:space="preserve">ГОЛУБ ЛЮБОВ </t>
  </si>
  <si>
    <t xml:space="preserve">КОНДРАТЮК СЕРГIЙ  </t>
  </si>
  <si>
    <t xml:space="preserve">Івріна Олена   </t>
  </si>
  <si>
    <t xml:space="preserve">Мазеркiна Галина  </t>
  </si>
  <si>
    <t xml:space="preserve">ЗРЄЛА ВАЛЕНТИНА </t>
  </si>
  <si>
    <t xml:space="preserve">Усенко Микола  </t>
  </si>
  <si>
    <t xml:space="preserve">Четверіков Костянтин  </t>
  </si>
  <si>
    <t>АЛБАКОВА МАДІНА</t>
  </si>
  <si>
    <t xml:space="preserve">МОТУЗ МАРИНА </t>
  </si>
  <si>
    <t>КРЮКОВСЬКА ЛЮБОВ</t>
  </si>
  <si>
    <t>Кукучка Данієла</t>
  </si>
  <si>
    <t>Удод Михайло</t>
  </si>
  <si>
    <t xml:space="preserve">Мочернюк Ярослава </t>
  </si>
  <si>
    <t xml:space="preserve">Копін Геннадій </t>
  </si>
  <si>
    <t>МАТВIЙЧУК АЛЛА</t>
  </si>
  <si>
    <t xml:space="preserve">Радченко Юрій </t>
  </si>
  <si>
    <t>Базима Катерина</t>
  </si>
  <si>
    <t xml:space="preserve">Доруда Наталя </t>
  </si>
  <si>
    <t>Чабаненко Сергій</t>
  </si>
  <si>
    <t>Малюгін  Богдан</t>
  </si>
  <si>
    <t>Леонова Марія</t>
  </si>
  <si>
    <t>Бережна Любов</t>
  </si>
  <si>
    <t xml:space="preserve">Податки на нецільову  благодійну фінансову допомогу  </t>
  </si>
  <si>
    <t xml:space="preserve">АДАМОВА ІРИНА </t>
  </si>
  <si>
    <t>НАЗАРОВА НIНА</t>
  </si>
  <si>
    <t>Середенко Любов</t>
  </si>
  <si>
    <t>Білецький Максим</t>
  </si>
  <si>
    <t>Ступа Олег</t>
  </si>
  <si>
    <t>Воловик Алла</t>
  </si>
  <si>
    <t>ГЕРАЩЕНКО ТАМАРА</t>
  </si>
  <si>
    <t>Панченко Інесса</t>
  </si>
  <si>
    <t xml:space="preserve">Фещенко Володимир </t>
  </si>
  <si>
    <t>Бологов Артем</t>
  </si>
  <si>
    <t>Бганка Володимир</t>
  </si>
  <si>
    <t>Асадова Каролiна</t>
  </si>
  <si>
    <t>Вiтвицький Максим</t>
  </si>
  <si>
    <t xml:space="preserve">Тарасевич Максим </t>
  </si>
  <si>
    <t>Чабаненко Михайло</t>
  </si>
  <si>
    <t>Плешивенко Дмитро</t>
  </si>
  <si>
    <t>Швидка Галина</t>
  </si>
  <si>
    <t xml:space="preserve">Толмазан Надія </t>
  </si>
  <si>
    <t xml:space="preserve">ГАВРИЛЬЧЕНКО ЛIЛIЯ </t>
  </si>
  <si>
    <t xml:space="preserve">Купівля засобів захисту від комарів  </t>
  </si>
  <si>
    <t>Допомога сім'ям з дітьми (закупівля підгузків в кількості 150 шт)</t>
  </si>
  <si>
    <t>Новосельський Артур</t>
  </si>
  <si>
    <t xml:space="preserve">Огородов Валерій </t>
  </si>
  <si>
    <t>Бондаренко Зінаїда</t>
  </si>
  <si>
    <t xml:space="preserve">Антоник Любомира  </t>
  </si>
  <si>
    <t>Дубров Володимир</t>
  </si>
  <si>
    <t>Штурхацька Наталія</t>
  </si>
  <si>
    <t>Головко Олена</t>
  </si>
  <si>
    <t>Ходак Леонід</t>
  </si>
  <si>
    <t>Мєлiна Софiя</t>
  </si>
  <si>
    <t>Пугачова Марiя</t>
  </si>
  <si>
    <t>Гридасов Ростислав</t>
  </si>
  <si>
    <t xml:space="preserve">Послуги водопостачання та водовiдведення </t>
  </si>
  <si>
    <t>Койнак Микола</t>
  </si>
  <si>
    <t>Штацька Світлана</t>
  </si>
  <si>
    <t xml:space="preserve">Фоміна Валерія </t>
  </si>
  <si>
    <t>КОВТУН ТЕТЯНА</t>
  </si>
  <si>
    <t>Купівля флешок накопичувачів  3 шт</t>
  </si>
  <si>
    <t>Бостон Вероніка</t>
  </si>
  <si>
    <t xml:space="preserve">Кушнiренко Євгеній </t>
  </si>
  <si>
    <t>Демиденко Антоніна</t>
  </si>
  <si>
    <t>Соловей Олександр</t>
  </si>
  <si>
    <t>Назарова Тетяна</t>
  </si>
  <si>
    <t>Друк поліграфічної продукціїї (наліпка, плакат, листівки)</t>
  </si>
  <si>
    <t>Купівля засобів для прибирання в офісі</t>
  </si>
  <si>
    <t>Послуги з розподілу та передачі електроенергiї</t>
  </si>
  <si>
    <t>Тульчинська  Веронiка</t>
  </si>
  <si>
    <t>Ігнатьєва Авіталь</t>
  </si>
  <si>
    <t>Пиньков Кирило</t>
  </si>
  <si>
    <t>Гребенников Богдан</t>
  </si>
  <si>
    <t>Зварич Ярослав</t>
  </si>
  <si>
    <t>Болдир Михайло</t>
  </si>
  <si>
    <t xml:space="preserve">Жужа Катерина </t>
  </si>
  <si>
    <t xml:space="preserve">Удовенко Віктор </t>
  </si>
  <si>
    <t>Павлова Наталя</t>
  </si>
  <si>
    <t>Чорна Наталя</t>
  </si>
  <si>
    <t>Берилло Антоніна</t>
  </si>
  <si>
    <t>Закупівля катетерів в/в G16  674 шт,  G14  150 шт для мобільного польового шпиталю</t>
  </si>
  <si>
    <t>Допомога дитині за проханням Служби у справах дітей м.Нікополь ( купівля продуктів харчування для дітей, підгузків)</t>
  </si>
  <si>
    <t>Якимець  Марк</t>
  </si>
  <si>
    <t>Азберг Ганна</t>
  </si>
  <si>
    <t>АНДРУСЕНКО РАЇСА</t>
  </si>
  <si>
    <t xml:space="preserve">Оверченко Юрій </t>
  </si>
  <si>
    <t>Вікторова Аліна</t>
  </si>
  <si>
    <t>Жукова Ольга</t>
  </si>
  <si>
    <t>Буштаренко Володимир</t>
  </si>
  <si>
    <t xml:space="preserve">Допомога реабілітаційному відділенню Нікопольської Міської лікарні № 4 в наданні медичної допомоги з реабілітації постраждалих (військовослужбовців та цивільних осіб) у зв'язку з військовою агресією в країні,  (закупівля реабiлiтацiйного iнвентаря) </t>
  </si>
  <si>
    <t>Закупівля скриньок для збору благодійних пожертв  2 шт</t>
  </si>
  <si>
    <t>Купівля канцтоварів:  папка для паперів А4 на зав.  10 шт., скотч  прозр.  1 шт.,  файл 200 шт., блокнот А 4 96 л  2 шт., Папір А 4 80 г/м2  2000 л, швидкозшивач пластмасовий 10 шт., стрічка клейка, папір для фліпчартів 20 аркушів, набір маркерів  4 шт + губка для сухостиральних дощок, блок паперу клейкий 200 арк,  ватман А1 20 арк., клей олівець</t>
  </si>
  <si>
    <t xml:space="preserve">Послуги охорони </t>
  </si>
  <si>
    <t xml:space="preserve">Послуги з технiчного обслуговування та спостереження системи протипожежного захисту </t>
  </si>
  <si>
    <t xml:space="preserve">Послуги з утримання будинку  та прибудинкової територiї </t>
  </si>
  <si>
    <t>КУРКОВА ЛЮДМИЛА</t>
  </si>
  <si>
    <t xml:space="preserve">Закупівля oдноразового душу  (комплект) в кiлькостi 50 шт </t>
  </si>
  <si>
    <t xml:space="preserve">Закупівля плiвки 120 мкр для бліндажів в кiлькостi  50 м </t>
  </si>
  <si>
    <t xml:space="preserve">Купівля багатофункціонального принтера </t>
  </si>
  <si>
    <t>Допомога лежачим хворим, людям з інвалідністю (закупівля підгузків в кількості 420 упк.)</t>
  </si>
  <si>
    <t xml:space="preserve">Купівля пакетів майка 200 шт, пакетів для сміття 60 л, 35 л   </t>
  </si>
  <si>
    <t>Коваленко Олексiй</t>
  </si>
  <si>
    <t>КОЗОРЄЗ ОЛЕКСАНДР</t>
  </si>
  <si>
    <t xml:space="preserve">Закупівля різдвяних  подарунків  дітям волонтерам (настiльні свiтлодiодні лампи 3в1 в кiлькостi 29 шт) </t>
  </si>
  <si>
    <t>Закупівля хiмiчних грiлок-устiлок в кiлькостi 100 шт.,  хiмiчних грiлок для нiг   100 шт., устiлок з пiдiгрiвом  50 шт</t>
  </si>
  <si>
    <t>Допомога літній жінці,  яка опинилася в складних життєвих обставинах (купівля продуктів харчування)</t>
  </si>
  <si>
    <t>Допомога Нікопольському медичному спеціалізованому центру медико-соціальної реабілітації дітей (закупівля канцтоварів,сенсорних подушок 2 шт, яскравих кнопок для вікторин 1 упак, набору Ебру творчість10 мл   3 шт, сухого універсального барвнику   6 упак, фарб акварельних, фломастерів, фарб гуашевих, пластиліну воскового, терапевтичного пластиліну, дитячого планшету для малювання графічного зі стілусом  4 шт.,кінетичного піску, столу регульованого  )</t>
  </si>
  <si>
    <t>Закупівля різдвяних  подарунків (наборів для творчості   19 шт) для  дітей Дитячого центру розвитку "Капітошка"</t>
  </si>
  <si>
    <t>Допомога Нікопольській дитячій лікарні (придбання сухої молочної суміші Малютка -1    6 пак.)</t>
  </si>
  <si>
    <t>Витрат за кошти Грантів (проєкт «Ініціатива секторальної підтримки громадянського суспільства» «Єднання» за підтримки Агентства США з міжнародного розвитку (USAID)</t>
  </si>
  <si>
    <t>Улька Сергій</t>
  </si>
  <si>
    <t xml:space="preserve">Закупівля обладнання (ноутбуки) 3 шт  </t>
  </si>
  <si>
    <t>Оплата послуг експерта за проведення тренінгу з фандрейзингу, надання консультацій</t>
  </si>
  <si>
    <t>Послуги  тренера консультанта з фінансового менеджменту (написання проектних заявок)</t>
  </si>
  <si>
    <t xml:space="preserve">Послуги  тренера консультанта з питань комунікації </t>
  </si>
  <si>
    <t>Послуги з доставки гум. допомоги (Нова Пошта)</t>
  </si>
  <si>
    <t>Оплата послуг експерта за розробку веб-сайту фонду</t>
  </si>
  <si>
    <t xml:space="preserve">Допомога військовому  з інвалідністю  (купівля протипролежневої подушки ) </t>
  </si>
  <si>
    <t xml:space="preserve">Заробітна плата персоналу проєкта (включаючи НДФЛ,військовий збір) </t>
  </si>
  <si>
    <t>Програмні витрати</t>
  </si>
  <si>
    <t>Купівля пакетів  для пакування благодійної допомоги  1000 шт.</t>
  </si>
  <si>
    <t xml:space="preserve">Оплата робіт працівникам з обліку та видачі гуманітарної допомоги + податки </t>
  </si>
  <si>
    <t>Надходження  від  бізнесу, грн</t>
  </si>
  <si>
    <t>Надходження від фіз.осіб, грн</t>
  </si>
  <si>
    <t>Гранти</t>
  </si>
  <si>
    <t>Отримані відсотки за депозитом, грн</t>
  </si>
  <si>
    <t>Разом:</t>
  </si>
  <si>
    <t>Місяць</t>
  </si>
  <si>
    <t>Надходження грн:</t>
  </si>
  <si>
    <t>Витрати фонду, грн:</t>
  </si>
  <si>
    <t>Різниця між надходженнями і витратами, грн: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</si>
  <si>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</si>
  <si>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</si>
  <si>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</si>
  <si>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</si>
  <si>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</si>
  <si>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</si>
  <si>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</si>
  <si>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</si>
  <si>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</si>
  <si>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</si>
  <si>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</si>
  <si>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</si>
  <si>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</t>
  </si>
  <si>
    <t>Звіт про надходження за період                            з 01.01.23 по 31.12.23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</si>
</sst>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%"/>
    <numFmt numFmtId="188" formatCode="0.0%"/>
    <numFmt numFmtId="189" formatCode="0.00000000"/>
    <numFmt numFmtId="190" formatCode="0.0000000"/>
    <numFmt numFmtId="191" formatCode="0.000000"/>
    <numFmt numFmtId="192" formatCode="0.00000"/>
    <numFmt numFmtId="193" formatCode="0.0000000000"/>
    <numFmt numFmtId="194" formatCode="0.000000000"/>
  </numFmts>
  <fonts count="56">
    <font>
      <sz val="10"/>
      <name val="Arial Cyr"/>
      <family val="0"/>
    </font>
    <font>
      <b/>
      <sz val="13"/>
      <color indexed="8"/>
      <name val="Verdana"/>
      <family val="2"/>
    </font>
    <font>
      <sz val="8"/>
      <name val="Arial Cyr"/>
      <family val="0"/>
    </font>
    <font>
      <b/>
      <sz val="10"/>
      <color indexed="8"/>
      <name val="Verdana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.5"/>
      <name val="Arial Cyr"/>
      <family val="0"/>
    </font>
    <font>
      <sz val="11"/>
      <name val="Arial Cyr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Fill="1" applyBorder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0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2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5" fillId="0" borderId="12" xfId="0" applyFont="1" applyBorder="1" applyAlignment="1">
      <alignment/>
    </xf>
    <xf numFmtId="10" fontId="5" fillId="0" borderId="12" xfId="0" applyNumberFormat="1" applyFont="1" applyBorder="1" applyAlignment="1">
      <alignment/>
    </xf>
    <xf numFmtId="10" fontId="5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0" fillId="0" borderId="11" xfId="0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10" fontId="5" fillId="34" borderId="12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3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 wrapText="1"/>
    </xf>
    <xf numFmtId="2" fontId="4" fillId="35" borderId="10" xfId="0" applyNumberFormat="1" applyFont="1" applyFill="1" applyBorder="1" applyAlignment="1">
      <alignment/>
    </xf>
    <xf numFmtId="10" fontId="5" fillId="35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/>
    </xf>
    <xf numFmtId="0" fontId="7" fillId="33" borderId="13" xfId="0" applyFont="1" applyFill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0" fillId="33" borderId="13" xfId="0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10" fontId="5" fillId="0" borderId="10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0" fillId="33" borderId="13" xfId="0" applyFill="1" applyBorder="1" applyAlignment="1">
      <alignment horizontal="left"/>
    </xf>
    <xf numFmtId="0" fontId="14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10" fontId="5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5" fillId="0" borderId="15" xfId="0" applyFont="1" applyBorder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0" fontId="15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12" fillId="33" borderId="10" xfId="0" applyFont="1" applyFill="1" applyBorder="1" applyAlignment="1">
      <alignment vertical="top" wrapText="1"/>
    </xf>
    <xf numFmtId="0" fontId="14" fillId="0" borderId="13" xfId="0" applyFont="1" applyBorder="1" applyAlignment="1">
      <alignment horizontal="justify" vertical="center"/>
    </xf>
    <xf numFmtId="0" fontId="0" fillId="33" borderId="14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9" fontId="4" fillId="34" borderId="12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4" fillId="35" borderId="10" xfId="0" applyNumberFormat="1" applyFont="1" applyFill="1" applyBorder="1" applyAlignment="1">
      <alignment/>
    </xf>
    <xf numFmtId="10" fontId="5" fillId="35" borderId="12" xfId="0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10" fontId="5" fillId="34" borderId="14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left" wrapText="1"/>
    </xf>
    <xf numFmtId="2" fontId="36" fillId="0" borderId="0" xfId="0" applyNumberFormat="1" applyFont="1" applyAlignment="1">
      <alignment horizontal="right" wrapText="1"/>
    </xf>
    <xf numFmtId="10" fontId="36" fillId="0" borderId="0" xfId="0" applyNumberFormat="1" applyFont="1" applyAlignment="1">
      <alignment horizontal="right" wrapText="1"/>
    </xf>
    <xf numFmtId="0" fontId="36" fillId="0" borderId="0" xfId="0" applyFont="1" applyAlignment="1">
      <alignment horizontal="left" wrapText="1"/>
    </xf>
    <xf numFmtId="2" fontId="4" fillId="0" borderId="0" xfId="0" applyNumberFormat="1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workbookViewId="0" topLeftCell="A116">
      <selection activeCell="G121" sqref="G121"/>
    </sheetView>
  </sheetViews>
  <sheetFormatPr defaultColWidth="9.00390625" defaultRowHeight="12.75"/>
  <cols>
    <col min="1" max="1" width="4.00390625" style="0" customWidth="1"/>
    <col min="2" max="2" width="57.25390625" style="16" customWidth="1"/>
    <col min="3" max="3" width="16.25390625" style="0" customWidth="1"/>
    <col min="4" max="4" width="11.875" style="0" customWidth="1"/>
    <col min="5" max="5" width="10.50390625" style="0" customWidth="1"/>
    <col min="6" max="6" width="14.125" style="0" customWidth="1"/>
    <col min="7" max="7" width="10.75390625" style="0" customWidth="1"/>
    <col min="8" max="8" width="9.50390625" style="0" bestFit="1" customWidth="1"/>
    <col min="9" max="9" width="10.75390625" style="0" customWidth="1"/>
    <col min="12" max="12" width="11.75390625" style="0" customWidth="1"/>
    <col min="15" max="15" width="10.25390625" style="0" customWidth="1"/>
  </cols>
  <sheetData>
    <row r="1" spans="1:6" ht="16.5">
      <c r="A1" s="100" t="s">
        <v>4</v>
      </c>
      <c r="B1" s="100"/>
      <c r="C1" s="100"/>
      <c r="D1" s="100"/>
      <c r="E1" s="32"/>
      <c r="F1" s="7"/>
    </row>
    <row r="2" spans="1:6" ht="21.75" customHeight="1">
      <c r="A2" s="100" t="s">
        <v>24</v>
      </c>
      <c r="B2" s="100"/>
      <c r="C2" s="100"/>
      <c r="D2" s="100"/>
      <c r="E2" s="32"/>
      <c r="F2" s="7"/>
    </row>
    <row r="3" spans="1:16" ht="25.5" customHeight="1">
      <c r="A3" s="101" t="s">
        <v>3</v>
      </c>
      <c r="B3" s="102"/>
      <c r="C3" s="87">
        <f>C4+C26+C101+C112+C138+C121</f>
        <v>1879225.7200000002</v>
      </c>
      <c r="D3" s="88">
        <v>1</v>
      </c>
      <c r="E3" s="41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6" ht="33" customHeight="1">
      <c r="A4" s="96" t="s">
        <v>7</v>
      </c>
      <c r="B4" s="96"/>
      <c r="C4" s="43">
        <f>SUM(C6:C25)</f>
        <v>148792.44999999998</v>
      </c>
      <c r="D4" s="44">
        <f>C4/C3</f>
        <v>0.07917752956254769</v>
      </c>
      <c r="E4" s="32"/>
      <c r="F4" s="4"/>
    </row>
    <row r="5" spans="1:7" ht="25.5" customHeight="1">
      <c r="A5" s="2" t="s">
        <v>0</v>
      </c>
      <c r="B5" s="50" t="s">
        <v>5</v>
      </c>
      <c r="C5" s="3" t="s">
        <v>6</v>
      </c>
      <c r="D5" s="29" t="s">
        <v>1</v>
      </c>
      <c r="E5" s="6"/>
      <c r="F5" s="7"/>
      <c r="G5" s="4"/>
    </row>
    <row r="6" spans="1:6" ht="25.5" customHeight="1">
      <c r="A6" s="1">
        <v>1</v>
      </c>
      <c r="B6" s="37" t="s">
        <v>23</v>
      </c>
      <c r="C6" s="25">
        <f>4548.25+3760+36835.99</f>
        <v>45144.24</v>
      </c>
      <c r="D6" s="30">
        <f>C6/C4</f>
        <v>0.30340410417329644</v>
      </c>
      <c r="E6" s="70"/>
      <c r="F6" s="7"/>
    </row>
    <row r="7" spans="1:6" ht="25.5" customHeight="1">
      <c r="A7" s="1">
        <f>A6+1</f>
        <v>2</v>
      </c>
      <c r="B7" s="23" t="s">
        <v>86</v>
      </c>
      <c r="C7" s="22">
        <f>10000+13017.5</f>
        <v>23017.5</v>
      </c>
      <c r="D7" s="30">
        <f>C7/C4</f>
        <v>0.15469534912557728</v>
      </c>
      <c r="E7" s="32"/>
      <c r="F7" s="7"/>
    </row>
    <row r="8" spans="1:6" ht="25.5" customHeight="1">
      <c r="A8" s="1">
        <f aca="true" t="shared" si="0" ref="A8:A25">A7+1</f>
        <v>3</v>
      </c>
      <c r="B8" s="13" t="s">
        <v>20</v>
      </c>
      <c r="C8" s="25">
        <f>1135.6+283.9+1409.5+1399.5+1409.5+1419.5+1419.5+1392.5+1394.5+1347.5+1349.5+1374.5</f>
        <v>15335.5</v>
      </c>
      <c r="D8" s="30">
        <f>C8/C4</f>
        <v>0.10306638542479811</v>
      </c>
      <c r="E8" s="70"/>
      <c r="F8" s="7"/>
    </row>
    <row r="9" spans="1:6" ht="25.5" customHeight="1">
      <c r="A9" s="1">
        <f t="shared" si="0"/>
        <v>4</v>
      </c>
      <c r="B9" s="51" t="s">
        <v>53</v>
      </c>
      <c r="C9" s="53">
        <f>287.1+2655+2660+2660+2910+2660</f>
        <v>13832.1</v>
      </c>
      <c r="D9" s="30">
        <f>C9/C4</f>
        <v>0.0929623781314173</v>
      </c>
      <c r="E9" s="69"/>
      <c r="F9" s="7"/>
    </row>
    <row r="10" spans="1:6" ht="25.5" customHeight="1">
      <c r="A10" s="1">
        <f t="shared" si="0"/>
        <v>5</v>
      </c>
      <c r="B10" s="13" t="s">
        <v>71</v>
      </c>
      <c r="C10" s="40">
        <f>3760+6216</f>
        <v>9976</v>
      </c>
      <c r="D10" s="30">
        <f>C10/C4</f>
        <v>0.06704641263720035</v>
      </c>
      <c r="E10" s="32"/>
      <c r="F10" s="7"/>
    </row>
    <row r="11" spans="1:5" ht="25.5" customHeight="1">
      <c r="A11" s="1">
        <f t="shared" si="0"/>
        <v>6</v>
      </c>
      <c r="B11" s="21" t="s">
        <v>60</v>
      </c>
      <c r="C11" s="22">
        <f>423.5+4059.3+1800</f>
        <v>6282.8</v>
      </c>
      <c r="D11" s="30">
        <f>C11/C4</f>
        <v>0.04222526075751828</v>
      </c>
      <c r="E11" s="41"/>
    </row>
    <row r="12" spans="1:5" ht="25.5" customHeight="1">
      <c r="A12" s="1">
        <f t="shared" si="0"/>
        <v>7</v>
      </c>
      <c r="B12" s="13" t="s">
        <v>68</v>
      </c>
      <c r="C12" s="22">
        <f>2240.31+3760</f>
        <v>6000.3099999999995</v>
      </c>
      <c r="D12" s="30">
        <f>C12/C4</f>
        <v>0.04032671012541295</v>
      </c>
      <c r="E12" s="32"/>
    </row>
    <row r="13" spans="1:5" ht="25.5" customHeight="1">
      <c r="A13" s="1">
        <f t="shared" si="0"/>
        <v>8</v>
      </c>
      <c r="B13" s="15" t="s">
        <v>106</v>
      </c>
      <c r="C13" s="59">
        <v>5600</v>
      </c>
      <c r="D13" s="30">
        <f>C13/C4</f>
        <v>0.03763631824060966</v>
      </c>
      <c r="E13" s="32"/>
    </row>
    <row r="14" spans="1:5" ht="25.5" customHeight="1">
      <c r="A14" s="1">
        <f t="shared" si="0"/>
        <v>9</v>
      </c>
      <c r="B14" s="21" t="s">
        <v>87</v>
      </c>
      <c r="C14" s="22">
        <v>3760</v>
      </c>
      <c r="D14" s="30">
        <f>C14/C4</f>
        <v>0.02527009939012363</v>
      </c>
      <c r="E14" s="32"/>
    </row>
    <row r="15" spans="1:5" ht="25.5" customHeight="1">
      <c r="A15" s="1">
        <f t="shared" si="0"/>
        <v>10</v>
      </c>
      <c r="B15" s="13" t="s">
        <v>69</v>
      </c>
      <c r="C15" s="25">
        <v>3700</v>
      </c>
      <c r="D15" s="30">
        <f>C15/C4</f>
        <v>0.024866853123259952</v>
      </c>
      <c r="E15" s="41"/>
    </row>
    <row r="16" spans="1:5" ht="25.5" customHeight="1">
      <c r="A16" s="1">
        <f t="shared" si="0"/>
        <v>11</v>
      </c>
      <c r="B16" s="21" t="s">
        <v>70</v>
      </c>
      <c r="C16" s="25">
        <v>3700</v>
      </c>
      <c r="D16" s="30">
        <f>C16/C4</f>
        <v>0.024866853123259952</v>
      </c>
      <c r="E16" s="41"/>
    </row>
    <row r="17" spans="1:5" ht="25.5" customHeight="1">
      <c r="A17" s="1">
        <f t="shared" si="0"/>
        <v>12</v>
      </c>
      <c r="B17" s="13" t="s">
        <v>135</v>
      </c>
      <c r="C17" s="25">
        <v>3700</v>
      </c>
      <c r="D17" s="30">
        <f>C17/C4</f>
        <v>0.024866853123259952</v>
      </c>
      <c r="E17" s="32"/>
    </row>
    <row r="18" spans="1:5" ht="25.5" customHeight="1">
      <c r="A18" s="1">
        <f t="shared" si="0"/>
        <v>13</v>
      </c>
      <c r="B18" s="13" t="s">
        <v>103</v>
      </c>
      <c r="C18" s="59">
        <v>2000</v>
      </c>
      <c r="D18" s="30">
        <f>C18/C4</f>
        <v>0.013441542228789164</v>
      </c>
      <c r="E18" s="41"/>
    </row>
    <row r="19" spans="1:5" ht="25.5" customHeight="1">
      <c r="A19" s="1">
        <f t="shared" si="0"/>
        <v>14</v>
      </c>
      <c r="B19" s="15" t="s">
        <v>144</v>
      </c>
      <c r="C19" s="59">
        <v>1669.8</v>
      </c>
      <c r="D19" s="30">
        <f>C19/C4</f>
        <v>0.011222343606816072</v>
      </c>
      <c r="E19" s="32"/>
    </row>
    <row r="20" spans="1:5" ht="25.5" customHeight="1">
      <c r="A20" s="1">
        <f t="shared" si="0"/>
        <v>15</v>
      </c>
      <c r="B20" s="22" t="s">
        <v>88</v>
      </c>
      <c r="C20" s="22">
        <f>480+960</f>
        <v>1440</v>
      </c>
      <c r="D20" s="30">
        <f>C20/C4</f>
        <v>0.009677910404728199</v>
      </c>
      <c r="E20" s="32"/>
    </row>
    <row r="21" spans="1:5" ht="25.5" customHeight="1">
      <c r="A21" s="1">
        <f t="shared" si="0"/>
        <v>16</v>
      </c>
      <c r="B21" s="38" t="s">
        <v>95</v>
      </c>
      <c r="C21" s="22">
        <v>1098</v>
      </c>
      <c r="D21" s="30">
        <f>C21/C4</f>
        <v>0.007379406683605251</v>
      </c>
      <c r="E21" s="32"/>
    </row>
    <row r="22" spans="1:5" ht="25.5" customHeight="1">
      <c r="A22" s="1">
        <f t="shared" si="0"/>
        <v>17</v>
      </c>
      <c r="B22" s="15" t="s">
        <v>105</v>
      </c>
      <c r="C22" s="8">
        <f>519+451.8</f>
        <v>970.8</v>
      </c>
      <c r="D22" s="30">
        <f>C22/C4</f>
        <v>0.0065245245978542595</v>
      </c>
      <c r="E22" s="69"/>
    </row>
    <row r="23" spans="1:5" ht="25.5" customHeight="1">
      <c r="A23" s="1">
        <f t="shared" si="0"/>
        <v>18</v>
      </c>
      <c r="B23" s="13" t="s">
        <v>54</v>
      </c>
      <c r="C23" s="25">
        <f>253.8+361.8</f>
        <v>615.6</v>
      </c>
      <c r="D23" s="30">
        <f>C23/C4</f>
        <v>0.004137306698021305</v>
      </c>
      <c r="E23" s="32"/>
    </row>
    <row r="24" spans="1:5" ht="25.5" customHeight="1">
      <c r="A24" s="1">
        <f t="shared" si="0"/>
        <v>19</v>
      </c>
      <c r="B24" s="13" t="s">
        <v>104</v>
      </c>
      <c r="C24" s="59">
        <v>588</v>
      </c>
      <c r="D24" s="30">
        <f>C24/C4</f>
        <v>0.003951813415264014</v>
      </c>
      <c r="E24" s="32"/>
    </row>
    <row r="25" spans="1:5" ht="25.5" customHeight="1">
      <c r="A25" s="1">
        <f t="shared" si="0"/>
        <v>20</v>
      </c>
      <c r="B25" s="15" t="s">
        <v>116</v>
      </c>
      <c r="C25" s="25">
        <v>361.8</v>
      </c>
      <c r="D25" s="30">
        <f>C25/C4</f>
        <v>0.00243157498918796</v>
      </c>
      <c r="E25" s="32"/>
    </row>
    <row r="26" spans="1:5" ht="33" customHeight="1">
      <c r="A26" s="99" t="s">
        <v>10</v>
      </c>
      <c r="B26" s="99"/>
      <c r="C26" s="35">
        <f>SUM(C28:C100)</f>
        <v>431714.65000000014</v>
      </c>
      <c r="D26" s="36">
        <f>C26/C3</f>
        <v>0.22973006670002372</v>
      </c>
      <c r="E26" s="32"/>
    </row>
    <row r="27" spans="1:5" ht="42" customHeight="1">
      <c r="A27" s="2" t="s">
        <v>0</v>
      </c>
      <c r="B27" s="50" t="s">
        <v>5</v>
      </c>
      <c r="C27" s="3" t="s">
        <v>6</v>
      </c>
      <c r="D27" s="29" t="s">
        <v>1</v>
      </c>
      <c r="E27" s="32"/>
    </row>
    <row r="28" spans="1:6" ht="25.5" customHeight="1">
      <c r="A28" s="1">
        <v>1</v>
      </c>
      <c r="B28" s="12" t="s">
        <v>66</v>
      </c>
      <c r="C28" s="22">
        <v>62266</v>
      </c>
      <c r="D28" s="30">
        <f>C28/C26</f>
        <v>0.144229527536302</v>
      </c>
      <c r="E28" s="70"/>
      <c r="F28" s="46"/>
    </row>
    <row r="29" spans="1:6" ht="25.5" customHeight="1">
      <c r="A29" s="1">
        <f>A28+1</f>
        <v>2</v>
      </c>
      <c r="B29" s="95" t="s">
        <v>64</v>
      </c>
      <c r="C29" s="22">
        <v>35500</v>
      </c>
      <c r="D29" s="30">
        <f>C29/C26</f>
        <v>0.08223024166541484</v>
      </c>
      <c r="E29" s="41"/>
      <c r="F29" s="7"/>
    </row>
    <row r="30" spans="1:6" ht="25.5" customHeight="1">
      <c r="A30" s="1">
        <f aca="true" t="shared" si="1" ref="A30:A93">A29+1</f>
        <v>3</v>
      </c>
      <c r="B30" s="12" t="s">
        <v>49</v>
      </c>
      <c r="C30" s="25">
        <f>3489.42+1594.9+5039.8+3456.9+3458.9+3256.9+3410.9+3547.9+1255.9+1255.9+3251.9+1255.9</f>
        <v>34275.22000000001</v>
      </c>
      <c r="D30" s="30">
        <f>C30/C26</f>
        <v>0.07939322883761299</v>
      </c>
      <c r="E30" s="74"/>
      <c r="F30" s="7"/>
    </row>
    <row r="31" spans="1:6" ht="25.5" customHeight="1">
      <c r="A31" s="1">
        <f t="shared" si="1"/>
        <v>4</v>
      </c>
      <c r="B31" s="15" t="s">
        <v>51</v>
      </c>
      <c r="C31" s="25">
        <f>5132.5+4516.5+2097+2097+2097+2097+1500.3+49.4+1227</f>
        <v>20813.7</v>
      </c>
      <c r="D31" s="30">
        <f>C31/C26</f>
        <v>0.04821170650567451</v>
      </c>
      <c r="E31" s="41"/>
      <c r="F31" s="7"/>
    </row>
    <row r="32" spans="1:6" ht="25.5" customHeight="1">
      <c r="A32" s="1">
        <f t="shared" si="1"/>
        <v>5</v>
      </c>
      <c r="B32" s="15" t="s">
        <v>13</v>
      </c>
      <c r="C32" s="25">
        <f>650+2279+1333.4+1378.5+1879.1+1340+3926.8+1958.12+3700</f>
        <v>18444.92</v>
      </c>
      <c r="D32" s="30">
        <f>C32/C26</f>
        <v>0.042724795185894185</v>
      </c>
      <c r="E32" s="41"/>
      <c r="F32" s="40"/>
    </row>
    <row r="33" spans="1:6" ht="25.5" customHeight="1">
      <c r="A33" s="1">
        <f t="shared" si="1"/>
        <v>6</v>
      </c>
      <c r="B33" s="15" t="s">
        <v>61</v>
      </c>
      <c r="C33" s="22">
        <f>5875.5+5691.59+5791.36</f>
        <v>17358.45</v>
      </c>
      <c r="D33" s="30">
        <f>C33/C26</f>
        <v>0.04020815601231043</v>
      </c>
      <c r="E33" s="41"/>
      <c r="F33" s="7"/>
    </row>
    <row r="34" spans="1:6" ht="25.5" customHeight="1">
      <c r="A34" s="1">
        <f t="shared" si="1"/>
        <v>7</v>
      </c>
      <c r="B34" s="15" t="s">
        <v>78</v>
      </c>
      <c r="C34" s="22">
        <f>642+4878.8+382.9+3700+6500</f>
        <v>16103.7</v>
      </c>
      <c r="D34" s="30">
        <f>C34/C26</f>
        <v>0.03730172232978426</v>
      </c>
      <c r="E34" s="41"/>
      <c r="F34" s="7"/>
    </row>
    <row r="35" spans="1:6" ht="25.5" customHeight="1">
      <c r="A35" s="1">
        <f t="shared" si="1"/>
        <v>8</v>
      </c>
      <c r="B35" s="19" t="s">
        <v>18</v>
      </c>
      <c r="C35" s="25">
        <f>4250+4800+4750</f>
        <v>13800</v>
      </c>
      <c r="D35" s="30">
        <f>C35/C26</f>
        <v>0.03196555873190774</v>
      </c>
      <c r="E35" s="41"/>
      <c r="F35" s="40"/>
    </row>
    <row r="36" spans="1:6" ht="25.5" customHeight="1">
      <c r="A36" s="1">
        <f t="shared" si="1"/>
        <v>9</v>
      </c>
      <c r="B36" s="23" t="s">
        <v>83</v>
      </c>
      <c r="C36" s="22">
        <f>3256.9+3192.9+3646.75</f>
        <v>10096.55</v>
      </c>
      <c r="D36" s="30">
        <f>C36/C26</f>
        <v>0.023387091450336458</v>
      </c>
      <c r="E36" s="41"/>
      <c r="F36" s="7"/>
    </row>
    <row r="37" spans="1:6" ht="25.5" customHeight="1">
      <c r="A37" s="1">
        <f>A36+1</f>
        <v>10</v>
      </c>
      <c r="B37" s="15" t="s">
        <v>79</v>
      </c>
      <c r="C37" s="22">
        <f>1663.03+3785.4+3351.07</f>
        <v>8799.5</v>
      </c>
      <c r="D37" s="30">
        <f>C37/C26</f>
        <v>0.02038267638126248</v>
      </c>
      <c r="E37" s="41"/>
      <c r="F37" s="7"/>
    </row>
    <row r="38" spans="1:6" ht="25.5" customHeight="1">
      <c r="A38" s="1">
        <f t="shared" si="1"/>
        <v>11</v>
      </c>
      <c r="B38" s="15" t="s">
        <v>40</v>
      </c>
      <c r="C38" s="25">
        <f>602.6+686.83+1449.8+748.1+709.9+438+1423.8+1397.8</f>
        <v>7456.83</v>
      </c>
      <c r="D38" s="30">
        <f>C38/C26</f>
        <v>0.01727258966078635</v>
      </c>
      <c r="E38" s="41"/>
      <c r="F38" s="7"/>
    </row>
    <row r="39" spans="1:6" ht="25.5" customHeight="1">
      <c r="A39" s="1">
        <f t="shared" si="1"/>
        <v>12</v>
      </c>
      <c r="B39" s="15" t="s">
        <v>73</v>
      </c>
      <c r="C39" s="22">
        <f>3560.5+1623.8+959.9</f>
        <v>6144.2</v>
      </c>
      <c r="D39" s="30">
        <f>C39/C26</f>
        <v>0.01423208593917301</v>
      </c>
      <c r="E39" s="70"/>
      <c r="F39" s="68"/>
    </row>
    <row r="40" spans="1:5" ht="25.5" customHeight="1">
      <c r="A40" s="1">
        <f t="shared" si="1"/>
        <v>13</v>
      </c>
      <c r="B40" s="13" t="s">
        <v>36</v>
      </c>
      <c r="C40" s="25">
        <f>1014.07+504+1324.8+571.8+670.6+727.9+1171.4</f>
        <v>5984.57</v>
      </c>
      <c r="D40" s="30">
        <f>C40/C26</f>
        <v>0.013862327813058921</v>
      </c>
      <c r="E40" s="32"/>
    </row>
    <row r="41" spans="1:6" ht="25.5" customHeight="1">
      <c r="A41" s="1">
        <f t="shared" si="1"/>
        <v>14</v>
      </c>
      <c r="B41" s="25" t="s">
        <v>21</v>
      </c>
      <c r="C41" s="25">
        <f>1122.2+480.2+976.45+384.4+1031.85+1479.38</f>
        <v>5474.4800000000005</v>
      </c>
      <c r="D41" s="30">
        <f>C41/C26</f>
        <v>0.012680783475844516</v>
      </c>
      <c r="E41" s="69"/>
      <c r="F41" s="7"/>
    </row>
    <row r="42" spans="1:6" ht="25.5" customHeight="1">
      <c r="A42" s="1">
        <f t="shared" si="1"/>
        <v>15</v>
      </c>
      <c r="B42" s="23" t="s">
        <v>46</v>
      </c>
      <c r="C42" s="25">
        <f>725.2+523.01+338.9+573+1097.25+815.7+781.2+395.8</f>
        <v>5250.06</v>
      </c>
      <c r="D42" s="30">
        <f>C42/C26</f>
        <v>0.012160949367828956</v>
      </c>
      <c r="E42" s="32"/>
      <c r="F42" s="7"/>
    </row>
    <row r="43" spans="1:6" ht="25.5" customHeight="1">
      <c r="A43" s="1">
        <f t="shared" si="1"/>
        <v>16</v>
      </c>
      <c r="B43" s="22" t="s">
        <v>22</v>
      </c>
      <c r="C43" s="25">
        <f>226.15+1275.8+1664.7+1662.8</f>
        <v>4829.45</v>
      </c>
      <c r="D43" s="30">
        <f>C43/C26</f>
        <v>0.011186671566508105</v>
      </c>
      <c r="E43" s="32"/>
      <c r="F43" s="7"/>
    </row>
    <row r="44" spans="1:6" ht="25.5" customHeight="1">
      <c r="A44" s="1">
        <f t="shared" si="1"/>
        <v>17</v>
      </c>
      <c r="B44" s="15" t="s">
        <v>121</v>
      </c>
      <c r="C44" s="73">
        <f>1988.79+1319.7+1388.7</f>
        <v>4697.19</v>
      </c>
      <c r="D44" s="30">
        <f>C44/C26</f>
        <v>0.010880311798545633</v>
      </c>
      <c r="E44" s="70"/>
      <c r="F44" s="7"/>
    </row>
    <row r="45" spans="1:6" ht="25.5" customHeight="1">
      <c r="A45" s="1">
        <f t="shared" si="1"/>
        <v>18</v>
      </c>
      <c r="B45" s="12" t="s">
        <v>50</v>
      </c>
      <c r="C45" s="25">
        <f>1125.9+3414.01</f>
        <v>4539.91</v>
      </c>
      <c r="D45" s="30">
        <f>C45/C26</f>
        <v>0.01051599708279531</v>
      </c>
      <c r="E45" s="41"/>
      <c r="F45" s="40"/>
    </row>
    <row r="46" spans="1:6" ht="25.5" customHeight="1">
      <c r="A46" s="1">
        <f t="shared" si="1"/>
        <v>19</v>
      </c>
      <c r="B46" s="15" t="s">
        <v>80</v>
      </c>
      <c r="C46" s="22">
        <v>4397.9</v>
      </c>
      <c r="D46" s="30">
        <f>C46/C26</f>
        <v>0.010187052952685294</v>
      </c>
      <c r="E46" s="41"/>
      <c r="F46" s="40"/>
    </row>
    <row r="47" spans="1:6" ht="25.5" customHeight="1">
      <c r="A47" s="1">
        <f t="shared" si="1"/>
        <v>20</v>
      </c>
      <c r="B47" s="15" t="s">
        <v>45</v>
      </c>
      <c r="C47" s="25">
        <f>705.99+181.2+711.9+711.9+1954.8</f>
        <v>4265.79</v>
      </c>
      <c r="D47" s="30">
        <f>C47/C26</f>
        <v>0.009881040636448169</v>
      </c>
      <c r="E47" s="41"/>
      <c r="F47" s="46"/>
    </row>
    <row r="48" spans="1:6" ht="25.5" customHeight="1">
      <c r="A48" s="1">
        <f t="shared" si="1"/>
        <v>21</v>
      </c>
      <c r="B48" s="23" t="s">
        <v>92</v>
      </c>
      <c r="C48" s="22">
        <f>380.7+2717.9+1008.8</f>
        <v>4107.4</v>
      </c>
      <c r="D48" s="30">
        <f>C48/C26</f>
        <v>0.00951415477793028</v>
      </c>
      <c r="E48" s="69"/>
      <c r="F48" s="68"/>
    </row>
    <row r="49" spans="1:6" ht="25.5" customHeight="1">
      <c r="A49" s="1">
        <f t="shared" si="1"/>
        <v>22</v>
      </c>
      <c r="B49" s="15" t="s">
        <v>55</v>
      </c>
      <c r="C49" s="55">
        <f>1518.4+1221.7+585.01+288.9+481.2</f>
        <v>4095.2100000000005</v>
      </c>
      <c r="D49" s="30">
        <f>C49/C26</f>
        <v>0.009485918534383762</v>
      </c>
      <c r="E49" s="32"/>
      <c r="F49" s="7"/>
    </row>
    <row r="50" spans="1:6" ht="25.5" customHeight="1">
      <c r="A50" s="1">
        <f t="shared" si="1"/>
        <v>23</v>
      </c>
      <c r="B50" s="15" t="s">
        <v>74</v>
      </c>
      <c r="C50" s="22">
        <f>2375.7+1639.2</f>
        <v>4014.8999999999996</v>
      </c>
      <c r="D50" s="30">
        <f>C50/C26</f>
        <v>0.009299892880633072</v>
      </c>
      <c r="E50" s="32"/>
      <c r="F50" s="7"/>
    </row>
    <row r="51" spans="1:6" ht="25.5" customHeight="1">
      <c r="A51" s="1">
        <f t="shared" si="1"/>
        <v>24</v>
      </c>
      <c r="B51" s="15" t="s">
        <v>110</v>
      </c>
      <c r="C51" s="59">
        <f>458.9+845.9+1899.6+659</f>
        <v>3863.3999999999996</v>
      </c>
      <c r="D51" s="30">
        <f>C51/C26</f>
        <v>0.00894896663803278</v>
      </c>
      <c r="E51" s="70"/>
      <c r="F51" s="68"/>
    </row>
    <row r="52" spans="1:6" ht="25.5" customHeight="1">
      <c r="A52" s="1">
        <f t="shared" si="1"/>
        <v>25</v>
      </c>
      <c r="B52" s="23" t="s">
        <v>26</v>
      </c>
      <c r="C52" s="25">
        <v>3760</v>
      </c>
      <c r="D52" s="30">
        <f>C52/C26</f>
        <v>0.008709456582027037</v>
      </c>
      <c r="E52" s="41"/>
      <c r="F52" s="7"/>
    </row>
    <row r="53" spans="1:7" ht="25.5" customHeight="1">
      <c r="A53" s="1">
        <f t="shared" si="1"/>
        <v>26</v>
      </c>
      <c r="B53" s="20" t="s">
        <v>48</v>
      </c>
      <c r="C53" s="25">
        <v>3760</v>
      </c>
      <c r="D53" s="30">
        <f>C53/C26</f>
        <v>0.008709456582027037</v>
      </c>
      <c r="E53" s="70"/>
      <c r="F53" s="46"/>
      <c r="G53" s="46"/>
    </row>
    <row r="54" spans="1:7" ht="25.5" customHeight="1">
      <c r="A54" s="1">
        <f t="shared" si="1"/>
        <v>27</v>
      </c>
      <c r="B54" s="22" t="s">
        <v>37</v>
      </c>
      <c r="C54" s="25">
        <v>3700</v>
      </c>
      <c r="D54" s="30">
        <f>C54/C26</f>
        <v>0.008570475891888309</v>
      </c>
      <c r="E54" s="32"/>
      <c r="F54" s="7"/>
      <c r="G54" s="7"/>
    </row>
    <row r="55" spans="1:7" ht="25.5" customHeight="1">
      <c r="A55" s="1">
        <f t="shared" si="1"/>
        <v>28</v>
      </c>
      <c r="B55" s="15" t="s">
        <v>41</v>
      </c>
      <c r="C55" s="46">
        <v>3700</v>
      </c>
      <c r="D55" s="30">
        <f>C55/C26</f>
        <v>0.008570475891888309</v>
      </c>
      <c r="E55" s="69"/>
      <c r="F55" s="68"/>
      <c r="G55" s="7"/>
    </row>
    <row r="56" spans="1:7" ht="25.5" customHeight="1">
      <c r="A56" s="1">
        <f t="shared" si="1"/>
        <v>29</v>
      </c>
      <c r="B56" s="15" t="s">
        <v>42</v>
      </c>
      <c r="C56" s="25">
        <v>3700</v>
      </c>
      <c r="D56" s="30">
        <f>C56/C26</f>
        <v>0.008570475891888309</v>
      </c>
      <c r="E56" s="32"/>
      <c r="F56" s="7"/>
      <c r="G56" s="7"/>
    </row>
    <row r="57" spans="1:7" ht="25.5" customHeight="1">
      <c r="A57" s="1">
        <f t="shared" si="1"/>
        <v>30</v>
      </c>
      <c r="B57" s="21" t="s">
        <v>43</v>
      </c>
      <c r="C57" s="25">
        <v>3700</v>
      </c>
      <c r="D57" s="30">
        <f>C57/C26</f>
        <v>0.008570475891888309</v>
      </c>
      <c r="E57" s="32"/>
      <c r="F57" s="7"/>
      <c r="G57" s="7"/>
    </row>
    <row r="58" spans="1:7" ht="25.5" customHeight="1">
      <c r="A58" s="1">
        <f t="shared" si="1"/>
        <v>31</v>
      </c>
      <c r="B58" s="19" t="s">
        <v>57</v>
      </c>
      <c r="C58" s="22">
        <v>3700</v>
      </c>
      <c r="D58" s="30">
        <f>C58/C26</f>
        <v>0.008570475891888309</v>
      </c>
      <c r="E58" s="41"/>
      <c r="F58" s="7"/>
      <c r="G58" s="7"/>
    </row>
    <row r="59" spans="1:7" ht="25.5" customHeight="1">
      <c r="A59" s="1">
        <f t="shared" si="1"/>
        <v>32</v>
      </c>
      <c r="B59" s="15" t="s">
        <v>75</v>
      </c>
      <c r="C59" s="22">
        <v>3700</v>
      </c>
      <c r="D59" s="30">
        <f>C59/C26</f>
        <v>0.008570475891888309</v>
      </c>
      <c r="E59" s="69"/>
      <c r="F59" s="7"/>
      <c r="G59" s="7"/>
    </row>
    <row r="60" spans="1:7" ht="25.5" customHeight="1">
      <c r="A60" s="1">
        <f t="shared" si="1"/>
        <v>33</v>
      </c>
      <c r="B60" s="23" t="s">
        <v>90</v>
      </c>
      <c r="C60" s="22">
        <v>3700</v>
      </c>
      <c r="D60" s="30">
        <f>C60/C26</f>
        <v>0.008570475891888309</v>
      </c>
      <c r="E60" s="32"/>
      <c r="F60" s="7"/>
      <c r="G60" s="7"/>
    </row>
    <row r="61" spans="1:7" ht="25.5" customHeight="1">
      <c r="A61" s="1">
        <f t="shared" si="1"/>
        <v>34</v>
      </c>
      <c r="B61" s="23" t="s">
        <v>93</v>
      </c>
      <c r="C61" s="22">
        <v>3700</v>
      </c>
      <c r="D61" s="30">
        <f>C61/C26</f>
        <v>0.008570475891888309</v>
      </c>
      <c r="E61" s="32"/>
      <c r="F61" s="7"/>
      <c r="G61" s="7"/>
    </row>
    <row r="62" spans="1:7" ht="25.5" customHeight="1">
      <c r="A62" s="1">
        <f t="shared" si="1"/>
        <v>35</v>
      </c>
      <c r="B62" s="19" t="s">
        <v>96</v>
      </c>
      <c r="C62" s="25">
        <v>3700</v>
      </c>
      <c r="D62" s="30">
        <f>C62/C26</f>
        <v>0.008570475891888309</v>
      </c>
      <c r="E62" s="32"/>
      <c r="F62" s="7"/>
      <c r="G62" s="7"/>
    </row>
    <row r="63" spans="1:7" ht="25.5" customHeight="1">
      <c r="A63" s="1">
        <f t="shared" si="1"/>
        <v>36</v>
      </c>
      <c r="B63" s="15" t="s">
        <v>99</v>
      </c>
      <c r="C63" s="22">
        <v>3700</v>
      </c>
      <c r="D63" s="30">
        <f>C63/C26</f>
        <v>0.008570475891888309</v>
      </c>
      <c r="E63" s="41"/>
      <c r="F63" s="7"/>
      <c r="G63" s="7"/>
    </row>
    <row r="64" spans="1:5" ht="25.5" customHeight="1">
      <c r="A64" s="1">
        <f t="shared" si="1"/>
        <v>37</v>
      </c>
      <c r="B64" s="13" t="s">
        <v>112</v>
      </c>
      <c r="C64" s="59">
        <v>3700</v>
      </c>
      <c r="D64" s="30">
        <f>C64/C26</f>
        <v>0.008570475891888309</v>
      </c>
      <c r="E64" s="32"/>
    </row>
    <row r="65" spans="1:5" ht="25.5" customHeight="1">
      <c r="A65" s="1">
        <f t="shared" si="1"/>
        <v>38</v>
      </c>
      <c r="B65" s="15" t="s">
        <v>118</v>
      </c>
      <c r="C65" s="25">
        <v>3700</v>
      </c>
      <c r="D65" s="30">
        <f>C65/C26</f>
        <v>0.008570475891888309</v>
      </c>
      <c r="E65" s="32"/>
    </row>
    <row r="66" spans="1:5" ht="25.5" customHeight="1">
      <c r="A66" s="1">
        <f t="shared" si="1"/>
        <v>39</v>
      </c>
      <c r="B66" s="15" t="s">
        <v>129</v>
      </c>
      <c r="C66" s="25">
        <v>3700</v>
      </c>
      <c r="D66" s="30">
        <f>C66/C26</f>
        <v>0.008570475891888309</v>
      </c>
      <c r="E66" s="32"/>
    </row>
    <row r="67" spans="1:8" ht="25.5" customHeight="1">
      <c r="A67" s="1">
        <f t="shared" si="1"/>
        <v>40</v>
      </c>
      <c r="B67" s="12" t="s">
        <v>136</v>
      </c>
      <c r="C67" s="25">
        <v>3700</v>
      </c>
      <c r="D67" s="30">
        <f>C67/C26</f>
        <v>0.008570475891888309</v>
      </c>
      <c r="E67" s="41"/>
      <c r="F67" s="40"/>
      <c r="G67" s="7"/>
      <c r="H67" s="7"/>
    </row>
    <row r="68" spans="1:8" ht="25.5" customHeight="1">
      <c r="A68" s="1">
        <f t="shared" si="1"/>
        <v>41</v>
      </c>
      <c r="B68" s="12" t="s">
        <v>72</v>
      </c>
      <c r="C68" s="22">
        <v>3572.48</v>
      </c>
      <c r="D68" s="30">
        <f>C68/C26</f>
        <v>0.008275095598446795</v>
      </c>
      <c r="E68" s="32"/>
      <c r="F68" s="7"/>
      <c r="G68" s="7"/>
      <c r="H68" s="7"/>
    </row>
    <row r="69" spans="1:8" ht="25.5" customHeight="1">
      <c r="A69" s="1">
        <f t="shared" si="1"/>
        <v>42</v>
      </c>
      <c r="B69" s="12" t="s">
        <v>109</v>
      </c>
      <c r="C69" s="59">
        <v>3545.5</v>
      </c>
      <c r="D69" s="30">
        <f>C69/C26</f>
        <v>0.00821260061478108</v>
      </c>
      <c r="E69" s="32"/>
      <c r="F69" s="7"/>
      <c r="G69" s="7"/>
      <c r="H69" s="7"/>
    </row>
    <row r="70" spans="1:8" ht="25.5" customHeight="1">
      <c r="A70" s="1">
        <f t="shared" si="1"/>
        <v>43</v>
      </c>
      <c r="B70" s="13" t="s">
        <v>34</v>
      </c>
      <c r="C70" s="25">
        <v>3470</v>
      </c>
      <c r="D70" s="30">
        <f>C70/C26</f>
        <v>0.008037716579689845</v>
      </c>
      <c r="E70" s="41"/>
      <c r="F70" s="40"/>
      <c r="G70" s="40"/>
      <c r="H70" s="40"/>
    </row>
    <row r="71" spans="1:8" ht="25.5" customHeight="1">
      <c r="A71" s="1">
        <f t="shared" si="1"/>
        <v>44</v>
      </c>
      <c r="B71" s="19" t="s">
        <v>35</v>
      </c>
      <c r="C71" s="25">
        <v>3470</v>
      </c>
      <c r="D71" s="30">
        <f>C71/C26</f>
        <v>0.008037716579689845</v>
      </c>
      <c r="E71" s="69"/>
      <c r="F71" s="7"/>
      <c r="G71" s="7"/>
      <c r="H71" s="7"/>
    </row>
    <row r="72" spans="1:8" ht="25.5" customHeight="1">
      <c r="A72" s="1">
        <f t="shared" si="1"/>
        <v>45</v>
      </c>
      <c r="B72" s="13" t="s">
        <v>38</v>
      </c>
      <c r="C72" s="25">
        <v>3400</v>
      </c>
      <c r="D72" s="30">
        <f>C72/C26</f>
        <v>0.007875572441194661</v>
      </c>
      <c r="E72" s="32"/>
      <c r="F72" s="7"/>
      <c r="G72" s="7"/>
      <c r="H72" s="7"/>
    </row>
    <row r="73" spans="1:8" ht="25.5" customHeight="1">
      <c r="A73" s="1">
        <f t="shared" si="1"/>
        <v>46</v>
      </c>
      <c r="B73" s="20" t="s">
        <v>111</v>
      </c>
      <c r="C73" s="59">
        <f>2215.02+1052.58</f>
        <v>3267.6</v>
      </c>
      <c r="D73" s="30">
        <f>C73/C26</f>
        <v>0.007568888384955199</v>
      </c>
      <c r="E73" s="32"/>
      <c r="F73" s="7"/>
      <c r="G73" s="7"/>
      <c r="H73" s="7"/>
    </row>
    <row r="74" spans="1:8" ht="25.5" customHeight="1">
      <c r="A74" s="1">
        <f t="shared" si="1"/>
        <v>47</v>
      </c>
      <c r="B74" s="15" t="s">
        <v>52</v>
      </c>
      <c r="C74" s="25">
        <v>3138.61</v>
      </c>
      <c r="D74" s="30">
        <f>C74/C26</f>
        <v>0.007270103064605287</v>
      </c>
      <c r="E74" s="41"/>
      <c r="F74" s="7"/>
      <c r="G74" s="7"/>
      <c r="H74" s="7"/>
    </row>
    <row r="75" spans="1:8" ht="25.5" customHeight="1">
      <c r="A75" s="1">
        <f t="shared" si="1"/>
        <v>48</v>
      </c>
      <c r="B75" s="45" t="s">
        <v>58</v>
      </c>
      <c r="C75" s="25">
        <v>3000</v>
      </c>
      <c r="D75" s="30">
        <f>C75/C26</f>
        <v>0.006949034506936466</v>
      </c>
      <c r="E75" s="69"/>
      <c r="F75" s="7"/>
      <c r="G75" s="7"/>
      <c r="H75" s="7"/>
    </row>
    <row r="76" spans="1:5" ht="25.5" customHeight="1">
      <c r="A76" s="1">
        <f t="shared" si="1"/>
        <v>49</v>
      </c>
      <c r="B76" s="15" t="s">
        <v>120</v>
      </c>
      <c r="C76" s="59">
        <v>2796.79</v>
      </c>
      <c r="D76" s="30">
        <f>C76/C26</f>
        <v>0.006478330072884946</v>
      </c>
      <c r="E76" s="32"/>
    </row>
    <row r="77" spans="1:5" ht="25.5" customHeight="1">
      <c r="A77" s="1">
        <f t="shared" si="1"/>
        <v>50</v>
      </c>
      <c r="B77" s="15" t="s">
        <v>29</v>
      </c>
      <c r="C77" s="25">
        <f>378.7+323.9+487+458.3+376.99+765.8</f>
        <v>2790.6899999999996</v>
      </c>
      <c r="D77" s="30">
        <f>C77/C26</f>
        <v>0.006464200369387508</v>
      </c>
      <c r="E77" s="32"/>
    </row>
    <row r="78" spans="1:5" ht="25.5" customHeight="1">
      <c r="A78" s="1">
        <f t="shared" si="1"/>
        <v>51</v>
      </c>
      <c r="B78" s="12" t="s">
        <v>107</v>
      </c>
      <c r="C78" s="59">
        <f>2717.7+1.7+17.32</f>
        <v>2736.72</v>
      </c>
      <c r="D78" s="30">
        <f>C78/C26</f>
        <v>0.006339187238607722</v>
      </c>
      <c r="E78" s="32"/>
    </row>
    <row r="79" spans="1:5" ht="25.5" customHeight="1">
      <c r="A79" s="1">
        <f t="shared" si="1"/>
        <v>52</v>
      </c>
      <c r="B79" s="26" t="s">
        <v>117</v>
      </c>
      <c r="C79" s="59">
        <v>2607.97</v>
      </c>
      <c r="D79" s="30">
        <f>C79/C26</f>
        <v>0.006040957841018365</v>
      </c>
      <c r="E79" s="32"/>
    </row>
    <row r="80" spans="1:6" ht="25.5" customHeight="1">
      <c r="A80" s="1">
        <f t="shared" si="1"/>
        <v>53</v>
      </c>
      <c r="B80" s="12" t="s">
        <v>122</v>
      </c>
      <c r="C80" s="59">
        <v>2443.21</v>
      </c>
      <c r="D80" s="30">
        <f>C80/C26</f>
        <v>0.005659316865897415</v>
      </c>
      <c r="E80" s="41"/>
      <c r="F80" s="40"/>
    </row>
    <row r="81" spans="1:6" ht="25.5" customHeight="1">
      <c r="A81" s="1">
        <f t="shared" si="1"/>
        <v>54</v>
      </c>
      <c r="B81" s="13" t="s">
        <v>97</v>
      </c>
      <c r="C81" s="22">
        <f>1793+625</f>
        <v>2418</v>
      </c>
      <c r="D81" s="30">
        <f>C81/C26</f>
        <v>0.0056009218125907916</v>
      </c>
      <c r="E81" s="32"/>
      <c r="F81" s="7"/>
    </row>
    <row r="82" spans="1:6" ht="25.5" customHeight="1">
      <c r="A82" s="1">
        <f t="shared" si="1"/>
        <v>55</v>
      </c>
      <c r="B82" s="13" t="s">
        <v>63</v>
      </c>
      <c r="C82" s="22">
        <v>2200</v>
      </c>
      <c r="D82" s="30">
        <f>C82/C26</f>
        <v>0.005095958638420075</v>
      </c>
      <c r="E82" s="32"/>
      <c r="F82" s="7"/>
    </row>
    <row r="83" spans="1:6" ht="25.5" customHeight="1">
      <c r="A83" s="1">
        <f t="shared" si="1"/>
        <v>56</v>
      </c>
      <c r="B83" s="19" t="s">
        <v>113</v>
      </c>
      <c r="C83" s="59">
        <v>1963.67</v>
      </c>
      <c r="D83" s="30">
        <f>C83/C26</f>
        <v>0.004548536863411977</v>
      </c>
      <c r="E83" s="41"/>
      <c r="F83" s="7"/>
    </row>
    <row r="84" spans="1:6" ht="25.5" customHeight="1">
      <c r="A84" s="1">
        <f t="shared" si="1"/>
        <v>57</v>
      </c>
      <c r="B84" s="12" t="s">
        <v>98</v>
      </c>
      <c r="C84" s="22">
        <v>1850.4</v>
      </c>
      <c r="D84" s="30">
        <f>C84/C26</f>
        <v>0.0042861644838784125</v>
      </c>
      <c r="E84" s="32"/>
      <c r="F84" s="7"/>
    </row>
    <row r="85" spans="1:6" ht="25.5" customHeight="1">
      <c r="A85" s="1">
        <f t="shared" si="1"/>
        <v>58</v>
      </c>
      <c r="B85" s="15" t="s">
        <v>84</v>
      </c>
      <c r="C85" s="22">
        <f>1301.81+504.9</f>
        <v>1806.71</v>
      </c>
      <c r="D85" s="30">
        <f>C85/C26</f>
        <v>0.0041849633780090606</v>
      </c>
      <c r="E85" s="32"/>
      <c r="F85" s="7"/>
    </row>
    <row r="86" spans="1:6" ht="25.5" customHeight="1">
      <c r="A86" s="1">
        <f t="shared" si="1"/>
        <v>59</v>
      </c>
      <c r="B86" s="13" t="s">
        <v>85</v>
      </c>
      <c r="C86" s="22">
        <v>1765.8</v>
      </c>
      <c r="D86" s="30">
        <f>C86/C26</f>
        <v>0.004090201710782804</v>
      </c>
      <c r="E86" s="32"/>
      <c r="F86" s="7"/>
    </row>
    <row r="87" spans="1:6" ht="25.5" customHeight="1">
      <c r="A87" s="1">
        <f t="shared" si="1"/>
        <v>60</v>
      </c>
      <c r="B87" s="15" t="s">
        <v>44</v>
      </c>
      <c r="C87" s="8">
        <f>1462.2+119.4</f>
        <v>1581.6000000000001</v>
      </c>
      <c r="D87" s="30">
        <f>C87/C26</f>
        <v>0.0036635309920569053</v>
      </c>
      <c r="E87" s="69"/>
      <c r="F87" s="7"/>
    </row>
    <row r="88" spans="1:6" ht="25.5" customHeight="1">
      <c r="A88" s="1">
        <f t="shared" si="1"/>
        <v>61</v>
      </c>
      <c r="B88" s="15" t="s">
        <v>59</v>
      </c>
      <c r="C88" s="22">
        <f>1215.5+354.9</f>
        <v>1570.4</v>
      </c>
      <c r="D88" s="30">
        <f>C88/C26</f>
        <v>0.0036375879298976756</v>
      </c>
      <c r="E88" s="32"/>
      <c r="F88" s="7"/>
    </row>
    <row r="89" spans="1:6" ht="25.5" customHeight="1">
      <c r="A89" s="1">
        <f t="shared" si="1"/>
        <v>62</v>
      </c>
      <c r="B89" s="15" t="s">
        <v>108</v>
      </c>
      <c r="C89" s="59">
        <f>1305.8+259.9</f>
        <v>1565.6999999999998</v>
      </c>
      <c r="D89" s="30">
        <f>C89/C26</f>
        <v>0.003626701109170141</v>
      </c>
      <c r="E89" s="69"/>
      <c r="F89" s="68"/>
    </row>
    <row r="90" spans="1:6" ht="25.5" customHeight="1">
      <c r="A90" s="1">
        <f t="shared" si="1"/>
        <v>63</v>
      </c>
      <c r="B90" s="67" t="s">
        <v>27</v>
      </c>
      <c r="C90" s="53">
        <f>498.86+1040.91</f>
        <v>1539.77</v>
      </c>
      <c r="D90" s="30">
        <f>C90/C26</f>
        <v>0.003566638287581854</v>
      </c>
      <c r="E90" s="69"/>
      <c r="F90" s="7"/>
    </row>
    <row r="91" spans="1:5" ht="25.5" customHeight="1">
      <c r="A91" s="1">
        <f t="shared" si="1"/>
        <v>64</v>
      </c>
      <c r="B91" s="19" t="s">
        <v>39</v>
      </c>
      <c r="C91" s="25">
        <v>1439.21</v>
      </c>
      <c r="D91" s="30">
        <f>C91/C26</f>
        <v>0.003333706650909344</v>
      </c>
      <c r="E91" s="32"/>
    </row>
    <row r="92" spans="1:5" ht="25.5" customHeight="1">
      <c r="A92" s="1">
        <f t="shared" si="1"/>
        <v>65</v>
      </c>
      <c r="B92" s="13" t="s">
        <v>82</v>
      </c>
      <c r="C92" s="22">
        <f>444.9+690.9</f>
        <v>1135.8</v>
      </c>
      <c r="D92" s="30">
        <f>C92/C26</f>
        <v>0.002630904464326146</v>
      </c>
      <c r="E92" s="32"/>
    </row>
    <row r="93" spans="1:5" ht="25.5" customHeight="1">
      <c r="A93" s="1">
        <f t="shared" si="1"/>
        <v>66</v>
      </c>
      <c r="B93" s="21" t="s">
        <v>91</v>
      </c>
      <c r="C93" s="22">
        <v>958.7</v>
      </c>
      <c r="D93" s="30">
        <f>C93/C26</f>
        <v>0.0022206797939333302</v>
      </c>
      <c r="E93" s="32"/>
    </row>
    <row r="94" spans="1:5" ht="25.5" customHeight="1">
      <c r="A94" s="1">
        <f aca="true" t="shared" si="2" ref="A94:A100">A93+1</f>
        <v>67</v>
      </c>
      <c r="B94" s="12" t="s">
        <v>65</v>
      </c>
      <c r="C94" s="22">
        <f>26.1+682.9</f>
        <v>709</v>
      </c>
      <c r="D94" s="30">
        <f>C94/C26</f>
        <v>0.0016422884884726514</v>
      </c>
      <c r="E94" s="32"/>
    </row>
    <row r="95" spans="1:5" ht="25.5" customHeight="1">
      <c r="A95" s="1">
        <f t="shared" si="2"/>
        <v>68</v>
      </c>
      <c r="B95" s="12" t="s">
        <v>67</v>
      </c>
      <c r="C95" s="22">
        <v>688.79</v>
      </c>
      <c r="D95" s="30">
        <f>C95/C26</f>
        <v>0.0015954751593442562</v>
      </c>
      <c r="E95" s="32"/>
    </row>
    <row r="96" spans="1:5" ht="25.5" customHeight="1">
      <c r="A96" s="1">
        <f t="shared" si="2"/>
        <v>69</v>
      </c>
      <c r="B96" s="13" t="s">
        <v>28</v>
      </c>
      <c r="C96" s="25">
        <v>618.38</v>
      </c>
      <c r="D96" s="30">
        <f>C96/C26</f>
        <v>0.0014323813194664573</v>
      </c>
      <c r="E96" s="32"/>
    </row>
    <row r="97" spans="1:5" ht="25.5" customHeight="1">
      <c r="A97" s="1">
        <f t="shared" si="2"/>
        <v>70</v>
      </c>
      <c r="B97" s="12" t="s">
        <v>119</v>
      </c>
      <c r="C97" s="59">
        <v>492.9</v>
      </c>
      <c r="D97" s="30">
        <f>C97/C26</f>
        <v>0.0011417263694896613</v>
      </c>
      <c r="E97" s="70"/>
    </row>
    <row r="98" spans="1:5" ht="25.5" customHeight="1">
      <c r="A98" s="1">
        <f t="shared" si="2"/>
        <v>71</v>
      </c>
      <c r="B98" s="15" t="s">
        <v>81</v>
      </c>
      <c r="C98" s="22">
        <v>447.62</v>
      </c>
      <c r="D98" s="30">
        <f>C98/C26</f>
        <v>0.0010368422753316336</v>
      </c>
      <c r="E98" s="32"/>
    </row>
    <row r="99" spans="1:4" ht="25.5" customHeight="1">
      <c r="A99" s="1">
        <f t="shared" si="2"/>
        <v>72</v>
      </c>
      <c r="B99" s="15" t="s">
        <v>47</v>
      </c>
      <c r="C99" s="25">
        <v>441.9</v>
      </c>
      <c r="D99" s="75">
        <f>C99/C26</f>
        <v>0.0010235927828717414</v>
      </c>
    </row>
    <row r="100" spans="1:5" ht="25.5" customHeight="1">
      <c r="A100" s="1">
        <f t="shared" si="2"/>
        <v>73</v>
      </c>
      <c r="B100" s="15" t="s">
        <v>62</v>
      </c>
      <c r="C100" s="22">
        <v>381.4</v>
      </c>
      <c r="D100" s="30">
        <f>C100/C26</f>
        <v>0.0008834539203151894</v>
      </c>
      <c r="E100" s="32"/>
    </row>
    <row r="101" spans="1:6" ht="60" customHeight="1">
      <c r="A101" s="97" t="s">
        <v>143</v>
      </c>
      <c r="B101" s="98"/>
      <c r="C101" s="89">
        <f>SUM(C103:C111)</f>
        <v>437392.55</v>
      </c>
      <c r="D101" s="44">
        <f>C101/C3</f>
        <v>0.23275147064291987</v>
      </c>
      <c r="E101" s="32"/>
      <c r="F101" s="54"/>
    </row>
    <row r="102" spans="1:5" ht="25.5" customHeight="1">
      <c r="A102" s="2" t="s">
        <v>0</v>
      </c>
      <c r="B102" s="50" t="s">
        <v>5</v>
      </c>
      <c r="C102" s="3" t="s">
        <v>6</v>
      </c>
      <c r="D102" s="29" t="s">
        <v>1</v>
      </c>
      <c r="E102" s="32"/>
    </row>
    <row r="103" spans="1:5" ht="30.75" customHeight="1">
      <c r="A103" s="14">
        <v>1</v>
      </c>
      <c r="B103" s="79" t="s">
        <v>150</v>
      </c>
      <c r="C103" s="78">
        <f>67250*2</f>
        <v>134500</v>
      </c>
      <c r="D103" s="30">
        <f>C103/C101</f>
        <v>0.3075040944341645</v>
      </c>
      <c r="E103" s="32"/>
    </row>
    <row r="104" spans="1:5" ht="33" customHeight="1">
      <c r="A104" s="14">
        <f>1+A103</f>
        <v>2</v>
      </c>
      <c r="B104" s="81" t="s">
        <v>152</v>
      </c>
      <c r="C104" s="61">
        <f>15050.75+29788.86+43413.95</f>
        <v>88253.56</v>
      </c>
      <c r="D104" s="30">
        <f>C104/C101</f>
        <v>0.20177197805495314</v>
      </c>
      <c r="E104" s="32"/>
    </row>
    <row r="105" spans="1:5" ht="27.75" customHeight="1">
      <c r="A105" s="14">
        <f aca="true" t="shared" si="3" ref="A105:A111">1+A104</f>
        <v>3</v>
      </c>
      <c r="B105" s="80" t="s">
        <v>145</v>
      </c>
      <c r="C105" s="11">
        <v>85500</v>
      </c>
      <c r="D105" s="30">
        <f>C105/C101</f>
        <v>0.19547658047673652</v>
      </c>
      <c r="E105" s="32"/>
    </row>
    <row r="106" spans="1:5" ht="36" customHeight="1">
      <c r="A106" s="14">
        <f t="shared" si="3"/>
        <v>4</v>
      </c>
      <c r="B106" s="80" t="s">
        <v>147</v>
      </c>
      <c r="C106" s="18">
        <v>30000</v>
      </c>
      <c r="D106" s="30">
        <f>C106/C101</f>
        <v>0.0685882738514865</v>
      </c>
      <c r="E106" s="32"/>
    </row>
    <row r="107" spans="1:5" ht="27.75" customHeight="1">
      <c r="A107" s="14">
        <f t="shared" si="3"/>
        <v>5</v>
      </c>
      <c r="B107" s="80" t="s">
        <v>148</v>
      </c>
      <c r="C107" s="61">
        <v>28800</v>
      </c>
      <c r="D107" s="30">
        <f>C107/C101</f>
        <v>0.06584474289742703</v>
      </c>
      <c r="E107" s="32"/>
    </row>
    <row r="108" spans="1:5" ht="36" customHeight="1">
      <c r="A108" s="14">
        <f t="shared" si="3"/>
        <v>6</v>
      </c>
      <c r="B108" s="79" t="s">
        <v>146</v>
      </c>
      <c r="C108" s="18">
        <v>24000</v>
      </c>
      <c r="D108" s="30">
        <f>C108/C101</f>
        <v>0.0548706190811892</v>
      </c>
      <c r="E108" s="32"/>
    </row>
    <row r="109" spans="1:5" ht="29.25" customHeight="1">
      <c r="A109" s="14">
        <f t="shared" si="3"/>
        <v>7</v>
      </c>
      <c r="B109" s="22" t="s">
        <v>9</v>
      </c>
      <c r="C109" s="61">
        <f>3311.17+6553.55+9551.07</f>
        <v>19415.79</v>
      </c>
      <c r="D109" s="30">
        <f>C109/C101</f>
        <v>0.044389850718765105</v>
      </c>
      <c r="E109" s="32"/>
    </row>
    <row r="110" spans="1:5" ht="25.5" customHeight="1">
      <c r="A110" s="14">
        <f t="shared" si="3"/>
        <v>8</v>
      </c>
      <c r="B110" s="80" t="s">
        <v>149</v>
      </c>
      <c r="C110" s="61">
        <v>17700</v>
      </c>
      <c r="D110" s="30">
        <f>C110/C101</f>
        <v>0.04046708157237704</v>
      </c>
      <c r="E110" s="32"/>
    </row>
    <row r="111" spans="1:5" ht="39" customHeight="1">
      <c r="A111" s="14">
        <f t="shared" si="3"/>
        <v>9</v>
      </c>
      <c r="B111" s="80" t="s">
        <v>155</v>
      </c>
      <c r="C111" s="61">
        <v>9223.2</v>
      </c>
      <c r="D111" s="30">
        <f>C111/C101</f>
        <v>0.021086778912901012</v>
      </c>
      <c r="E111" s="32"/>
    </row>
    <row r="112" spans="1:5" ht="36.75" customHeight="1">
      <c r="A112" s="103" t="s">
        <v>11</v>
      </c>
      <c r="B112" s="104"/>
      <c r="C112" s="90">
        <f>SUM(C114:C120)</f>
        <v>129465.35</v>
      </c>
      <c r="D112" s="36">
        <f>C112/C3</f>
        <v>0.06889292149534862</v>
      </c>
      <c r="E112" s="32"/>
    </row>
    <row r="113" spans="1:5" ht="25.5" customHeight="1">
      <c r="A113" s="2" t="s">
        <v>0</v>
      </c>
      <c r="B113" s="50" t="s">
        <v>5</v>
      </c>
      <c r="C113" s="3" t="s">
        <v>6</v>
      </c>
      <c r="D113" s="29" t="s">
        <v>1</v>
      </c>
      <c r="E113" s="33"/>
    </row>
    <row r="114" spans="1:5" ht="24" customHeight="1">
      <c r="A114" s="5">
        <v>1</v>
      </c>
      <c r="B114" s="13" t="s">
        <v>31</v>
      </c>
      <c r="C114" s="11">
        <f>16991.28+2884.59+3709.7+708.8+1095.5+1621.25+3549.1+2557.15+7098.3+1+2905.78+12523.4</f>
        <v>55645.85</v>
      </c>
      <c r="D114" s="30">
        <f>C114/C112</f>
        <v>0.4298126873329427</v>
      </c>
      <c r="E114" s="32"/>
    </row>
    <row r="115" spans="1:7" ht="37.5" customHeight="1">
      <c r="A115" s="5">
        <f aca="true" t="shared" si="4" ref="A115:A120">A114+1</f>
        <v>2</v>
      </c>
      <c r="B115" s="52" t="s">
        <v>114</v>
      </c>
      <c r="C115" s="22">
        <f>24039+7216</f>
        <v>31255</v>
      </c>
      <c r="D115" s="30">
        <f>C115/C112</f>
        <v>0.24141594642890934</v>
      </c>
      <c r="E115" s="70"/>
      <c r="F115" s="68"/>
      <c r="G115" s="68"/>
    </row>
    <row r="116" spans="1:8" ht="36.75" customHeight="1">
      <c r="A116" s="5">
        <f t="shared" si="4"/>
        <v>3</v>
      </c>
      <c r="B116" s="13" t="s">
        <v>138</v>
      </c>
      <c r="C116" s="59">
        <f>7900+4200+8750</f>
        <v>20850</v>
      </c>
      <c r="D116" s="30">
        <f>C116/C112</f>
        <v>0.1610469519450571</v>
      </c>
      <c r="E116" s="34" t="s">
        <v>2</v>
      </c>
      <c r="F116" s="72"/>
      <c r="G116" s="72"/>
      <c r="H116" s="9"/>
    </row>
    <row r="117" spans="1:8" ht="28.5" customHeight="1">
      <c r="A117" s="5">
        <f t="shared" si="4"/>
        <v>4</v>
      </c>
      <c r="B117" s="24" t="s">
        <v>30</v>
      </c>
      <c r="C117" s="11">
        <v>15400</v>
      </c>
      <c r="D117" s="30">
        <f>C117/C112</f>
        <v>0.1189507462807616</v>
      </c>
      <c r="E117" s="41"/>
      <c r="F117" s="72"/>
      <c r="G117" s="72"/>
      <c r="H117" s="9"/>
    </row>
    <row r="118" spans="1:8" ht="24" customHeight="1">
      <c r="A118" s="5">
        <f t="shared" si="4"/>
        <v>5</v>
      </c>
      <c r="B118" s="22" t="s">
        <v>76</v>
      </c>
      <c r="C118" s="22">
        <f>2448+532+635</f>
        <v>3615</v>
      </c>
      <c r="D118" s="30">
        <f>C118/C112</f>
        <v>0.027922529078243715</v>
      </c>
      <c r="E118" s="34"/>
      <c r="F118" s="9"/>
      <c r="G118" s="9"/>
      <c r="H118" s="9"/>
    </row>
    <row r="119" spans="1:8" ht="27.75" customHeight="1">
      <c r="A119" s="5">
        <f t="shared" si="4"/>
        <v>6</v>
      </c>
      <c r="B119" s="13" t="s">
        <v>131</v>
      </c>
      <c r="C119" s="25">
        <v>1700</v>
      </c>
      <c r="D119" s="30">
        <f>C119/C112</f>
        <v>0.01313092653748667</v>
      </c>
      <c r="E119" s="34"/>
      <c r="F119" s="9"/>
      <c r="G119" s="9"/>
      <c r="H119" s="9"/>
    </row>
    <row r="120" spans="1:8" ht="33" customHeight="1">
      <c r="A120" s="5">
        <f t="shared" si="4"/>
        <v>7</v>
      </c>
      <c r="B120" s="63" t="s">
        <v>130</v>
      </c>
      <c r="C120" s="59">
        <v>999.5</v>
      </c>
      <c r="D120" s="30">
        <f>C120/C112</f>
        <v>0.0077202123965987805</v>
      </c>
      <c r="E120" s="34"/>
      <c r="F120" s="9"/>
      <c r="G120" s="9"/>
      <c r="H120" s="9"/>
    </row>
    <row r="121" spans="1:8" ht="30" customHeight="1">
      <c r="A121" s="97" t="s">
        <v>153</v>
      </c>
      <c r="B121" s="98"/>
      <c r="C121" s="91">
        <f>SUM(C123:C137)</f>
        <v>551948.9700000001</v>
      </c>
      <c r="D121" s="92">
        <f>C121/C3</f>
        <v>0.2937108427826329</v>
      </c>
      <c r="E121" s="32"/>
      <c r="H121" s="4"/>
    </row>
    <row r="122" spans="1:5" ht="30" customHeight="1">
      <c r="A122" s="2" t="s">
        <v>0</v>
      </c>
      <c r="B122" s="50" t="s">
        <v>5</v>
      </c>
      <c r="C122" s="3" t="s">
        <v>6</v>
      </c>
      <c r="D122" s="29" t="s">
        <v>1</v>
      </c>
      <c r="E122" s="32"/>
    </row>
    <row r="123" spans="1:5" ht="33.75" customHeight="1">
      <c r="A123" s="17">
        <v>1</v>
      </c>
      <c r="B123" s="21" t="s">
        <v>133</v>
      </c>
      <c r="C123" s="25">
        <f>56300+44624+44776+90750</f>
        <v>236450</v>
      </c>
      <c r="D123" s="56">
        <f>C123/C121</f>
        <v>0.42839105216556517</v>
      </c>
      <c r="E123" s="60"/>
    </row>
    <row r="124" spans="1:5" ht="36" customHeight="1">
      <c r="A124" s="17">
        <f aca="true" t="shared" si="5" ref="A124:A137">A123+1</f>
        <v>2</v>
      </c>
      <c r="B124" s="26" t="s">
        <v>15</v>
      </c>
      <c r="C124" s="55">
        <f>216456.8-15050.75-29788.86-17734.15</f>
        <v>153883.04</v>
      </c>
      <c r="D124" s="31">
        <f>C124/C121</f>
        <v>0.27879939698048534</v>
      </c>
      <c r="E124" s="57"/>
    </row>
    <row r="125" spans="1:5" ht="26.25" customHeight="1">
      <c r="A125" s="17">
        <f t="shared" si="5"/>
        <v>3</v>
      </c>
      <c r="B125" s="13" t="s">
        <v>77</v>
      </c>
      <c r="C125" s="22">
        <v>38550</v>
      </c>
      <c r="D125" s="31">
        <f>C125/C121</f>
        <v>0.0698434132416263</v>
      </c>
      <c r="E125" s="32"/>
    </row>
    <row r="126" spans="1:5" ht="24.75" customHeight="1">
      <c r="A126" s="17">
        <f t="shared" si="5"/>
        <v>4</v>
      </c>
      <c r="B126" s="48" t="s">
        <v>9</v>
      </c>
      <c r="C126" s="82">
        <f>47620.49-3311.17-6553.55-3901.51</f>
        <v>33854.259999999995</v>
      </c>
      <c r="D126" s="31">
        <f>C126/C121</f>
        <v>0.06133585139220386</v>
      </c>
      <c r="E126" s="32"/>
    </row>
    <row r="127" spans="1:6" ht="38.25" customHeight="1">
      <c r="A127" s="17">
        <f t="shared" si="5"/>
        <v>5</v>
      </c>
      <c r="B127" s="42" t="s">
        <v>12</v>
      </c>
      <c r="C127" s="25">
        <f>55+615.06+6700.04+3605.07+285.02+265.03+332.03+110.02+5365.04+1313.93+15637.06+8292.09-17700</f>
        <v>24875.39</v>
      </c>
      <c r="D127" s="71">
        <f>C127/C121</f>
        <v>0.04506827868525599</v>
      </c>
      <c r="E127" s="69"/>
      <c r="F127" s="68"/>
    </row>
    <row r="128" spans="1:5" ht="97.5" customHeight="1">
      <c r="A128" s="17">
        <f t="shared" si="5"/>
        <v>6</v>
      </c>
      <c r="B128" s="66" t="s">
        <v>140</v>
      </c>
      <c r="C128" s="78">
        <v>21835.14</v>
      </c>
      <c r="D128" s="31">
        <f>C128/C121</f>
        <v>0.039560070199967934</v>
      </c>
      <c r="E128" s="32"/>
    </row>
    <row r="129" spans="1:5" ht="41.25" customHeight="1">
      <c r="A129" s="17">
        <f t="shared" si="5"/>
        <v>7</v>
      </c>
      <c r="B129" s="64" t="s">
        <v>137</v>
      </c>
      <c r="C129" s="61">
        <v>9678</v>
      </c>
      <c r="D129" s="56">
        <f>C129/C121</f>
        <v>0.01753422965894836</v>
      </c>
      <c r="E129" s="60"/>
    </row>
    <row r="130" spans="1:5" ht="59.25" customHeight="1">
      <c r="A130" s="17">
        <f t="shared" si="5"/>
        <v>8</v>
      </c>
      <c r="B130" s="62" t="s">
        <v>123</v>
      </c>
      <c r="C130" s="61">
        <v>9543</v>
      </c>
      <c r="D130" s="56">
        <f>C130/C121</f>
        <v>0.017289641830475738</v>
      </c>
      <c r="E130" s="7"/>
    </row>
    <row r="131" spans="1:5" ht="31.5" customHeight="1">
      <c r="A131" s="17">
        <f t="shared" si="5"/>
        <v>9</v>
      </c>
      <c r="B131" s="61" t="s">
        <v>132</v>
      </c>
      <c r="C131" s="46">
        <v>8000</v>
      </c>
      <c r="D131" s="56">
        <f>C131/C121</f>
        <v>0.014494093539118296</v>
      </c>
      <c r="E131" s="32"/>
    </row>
    <row r="132" spans="1:5" ht="42.75" customHeight="1">
      <c r="A132" s="17">
        <f t="shared" si="5"/>
        <v>10</v>
      </c>
      <c r="B132" s="64" t="s">
        <v>151</v>
      </c>
      <c r="C132" s="61">
        <v>6675</v>
      </c>
      <c r="D132" s="56">
        <f>C132/C121</f>
        <v>0.012093509296701829</v>
      </c>
      <c r="E132" s="32"/>
    </row>
    <row r="133" spans="1:5" ht="33.75" customHeight="1">
      <c r="A133" s="17">
        <f t="shared" si="5"/>
        <v>11</v>
      </c>
      <c r="B133" s="55" t="s">
        <v>56</v>
      </c>
      <c r="C133" s="55">
        <f>1101.75+542.69+2242.5</f>
        <v>3886.94</v>
      </c>
      <c r="D133" s="56">
        <f>C133/C121</f>
        <v>0.00704220899261756</v>
      </c>
      <c r="E133" s="32"/>
    </row>
    <row r="134" spans="1:5" ht="39.75" customHeight="1">
      <c r="A134" s="17">
        <f t="shared" si="5"/>
        <v>12</v>
      </c>
      <c r="B134" s="65" t="s">
        <v>141</v>
      </c>
      <c r="C134" s="18">
        <v>2081</v>
      </c>
      <c r="D134" s="56">
        <f>C134/C121</f>
        <v>0.003770276081863147</v>
      </c>
      <c r="E134" s="32"/>
    </row>
    <row r="135" spans="1:5" ht="30" customHeight="1">
      <c r="A135" s="17">
        <f t="shared" si="5"/>
        <v>13</v>
      </c>
      <c r="B135" s="84" t="s">
        <v>115</v>
      </c>
      <c r="C135" s="59">
        <f>411.3+284+455</f>
        <v>1150.3</v>
      </c>
      <c r="D135" s="56">
        <f>C135/C121</f>
        <v>0.002084069474755972</v>
      </c>
      <c r="E135" s="32"/>
    </row>
    <row r="136" spans="1:5" ht="35.25" customHeight="1">
      <c r="A136" s="17">
        <f t="shared" si="5"/>
        <v>14</v>
      </c>
      <c r="B136" s="65" t="s">
        <v>142</v>
      </c>
      <c r="C136" s="18">
        <v>783</v>
      </c>
      <c r="D136" s="56">
        <f>C136/C121</f>
        <v>0.0014186094051412033</v>
      </c>
      <c r="E136" s="32"/>
    </row>
    <row r="137" spans="1:5" ht="40.5" customHeight="1">
      <c r="A137" s="17">
        <f t="shared" si="5"/>
        <v>15</v>
      </c>
      <c r="B137" s="83" t="s">
        <v>139</v>
      </c>
      <c r="C137" s="25">
        <v>703.9</v>
      </c>
      <c r="D137" s="56">
        <f>C137/C121</f>
        <v>0.0012752990552731712</v>
      </c>
      <c r="E137" s="32"/>
    </row>
    <row r="138" spans="1:8" ht="30.75" customHeight="1">
      <c r="A138" s="99" t="s">
        <v>8</v>
      </c>
      <c r="B138" s="99"/>
      <c r="C138" s="93">
        <f>SUM(C140:C160)</f>
        <v>179911.74999999997</v>
      </c>
      <c r="D138" s="94">
        <f>C138/C3</f>
        <v>0.09573716881652725</v>
      </c>
      <c r="E138" s="32"/>
      <c r="F138" s="16"/>
      <c r="H138" s="4"/>
    </row>
    <row r="139" spans="1:12" ht="25.5">
      <c r="A139" s="2" t="s">
        <v>0</v>
      </c>
      <c r="B139" s="50" t="s">
        <v>5</v>
      </c>
      <c r="C139" s="3" t="s">
        <v>6</v>
      </c>
      <c r="D139" s="29" t="s">
        <v>1</v>
      </c>
      <c r="E139" s="32"/>
      <c r="G139" s="16"/>
      <c r="H139" s="27"/>
      <c r="I139" s="27"/>
      <c r="J139" s="16"/>
      <c r="K139" s="16"/>
      <c r="L139" s="27"/>
    </row>
    <row r="140" spans="1:12" ht="33.75" customHeight="1">
      <c r="A140" s="1">
        <v>1</v>
      </c>
      <c r="B140" s="26" t="s">
        <v>15</v>
      </c>
      <c r="C140" s="10">
        <f>126628.49-43413.95+17734.15</f>
        <v>100948.69</v>
      </c>
      <c r="D140" s="30">
        <f>C140/C138</f>
        <v>0.5611011509809671</v>
      </c>
      <c r="E140" s="32"/>
      <c r="F140" s="4"/>
      <c r="G140" s="16"/>
      <c r="H140" s="27"/>
      <c r="I140" s="27"/>
      <c r="J140" s="16"/>
      <c r="K140" s="27"/>
      <c r="L140" s="27"/>
    </row>
    <row r="141" spans="1:12" ht="25.5" customHeight="1">
      <c r="A141" s="1">
        <f aca="true" t="shared" si="6" ref="A141:A160">A140+1</f>
        <v>2</v>
      </c>
      <c r="B141" s="24" t="s">
        <v>102</v>
      </c>
      <c r="C141" s="86">
        <f>3516.85+4854.66+4317.77+3434.41+1857.11+961.3+734.87+1746.2+348.67+975.11+1050.91+28.99+1133.18+2068.62+3204.84</f>
        <v>30233.489999999998</v>
      </c>
      <c r="D141" s="30">
        <f>C141/C138</f>
        <v>0.168046222661944</v>
      </c>
      <c r="E141" s="32"/>
      <c r="G141" s="16"/>
      <c r="H141" s="27"/>
      <c r="I141" s="27"/>
      <c r="J141" s="16"/>
      <c r="K141" s="16"/>
      <c r="L141" s="27"/>
    </row>
    <row r="142" spans="1:12" ht="24.75" customHeight="1">
      <c r="A142" s="1">
        <f t="shared" si="6"/>
        <v>3</v>
      </c>
      <c r="B142" s="22" t="s">
        <v>9</v>
      </c>
      <c r="C142" s="11">
        <f>27858.27-9551.07+3901.51</f>
        <v>22208.71</v>
      </c>
      <c r="D142" s="30">
        <f>C142/C138</f>
        <v>0.12344224321090759</v>
      </c>
      <c r="E142" s="70"/>
      <c r="F142" s="46"/>
      <c r="G142" s="16"/>
      <c r="H142" s="27"/>
      <c r="I142" s="27"/>
      <c r="J142" s="16"/>
      <c r="K142" s="16"/>
      <c r="L142" s="27"/>
    </row>
    <row r="143" spans="1:12" ht="26.25" customHeight="1">
      <c r="A143" s="1">
        <f t="shared" si="6"/>
        <v>4</v>
      </c>
      <c r="B143" s="22" t="s">
        <v>14</v>
      </c>
      <c r="C143" s="10">
        <f>332+395.9+287.29+222.63+460.82+423.99+333.79+345.94+372.9+410.41+389.66+436.1</f>
        <v>4411.43</v>
      </c>
      <c r="D143" s="30">
        <f>C143/C138</f>
        <v>0.024519966038905192</v>
      </c>
      <c r="E143" s="32"/>
      <c r="F143" s="7"/>
      <c r="G143" s="16"/>
      <c r="H143" s="27"/>
      <c r="I143" s="27"/>
      <c r="J143" s="16"/>
      <c r="K143" s="16"/>
      <c r="L143" s="27"/>
    </row>
    <row r="144" spans="1:12" ht="23.25" customHeight="1">
      <c r="A144" s="1">
        <f t="shared" si="6"/>
        <v>5</v>
      </c>
      <c r="B144" s="13" t="s">
        <v>126</v>
      </c>
      <c r="C144" s="25">
        <f>350+350+350+350+350+350+350+350+350+350+350+350</f>
        <v>4200</v>
      </c>
      <c r="D144" s="30">
        <f>C144/C138</f>
        <v>0.0233447787595863</v>
      </c>
      <c r="E144" s="32"/>
      <c r="F144" s="7"/>
      <c r="G144" s="16"/>
      <c r="H144" s="27"/>
      <c r="I144" s="27"/>
      <c r="J144" s="16"/>
      <c r="K144" s="16"/>
      <c r="L144" s="27"/>
    </row>
    <row r="145" spans="1:12" ht="33.75" customHeight="1">
      <c r="A145" s="1">
        <f t="shared" si="6"/>
        <v>6</v>
      </c>
      <c r="B145" s="24" t="s">
        <v>127</v>
      </c>
      <c r="C145" s="25">
        <f>300+300+300+300+300+300+300+300+300+300+300+300</f>
        <v>3600</v>
      </c>
      <c r="D145" s="30">
        <f>C145/C138</f>
        <v>0.020009810365359686</v>
      </c>
      <c r="E145" s="69"/>
      <c r="F145" s="7"/>
      <c r="G145" s="27"/>
      <c r="H145" s="27"/>
      <c r="I145" s="27"/>
      <c r="J145" s="16"/>
      <c r="K145" s="27"/>
      <c r="L145" s="27"/>
    </row>
    <row r="146" spans="1:12" ht="82.5" customHeight="1">
      <c r="A146" s="1">
        <f t="shared" si="6"/>
        <v>7</v>
      </c>
      <c r="B146" s="39" t="s">
        <v>125</v>
      </c>
      <c r="C146" s="25">
        <f>233.5+636+77+230+199+69+730.5+211</f>
        <v>2386</v>
      </c>
      <c r="D146" s="30">
        <f>C146/C138</f>
        <v>0.013262057647707836</v>
      </c>
      <c r="E146" s="32"/>
      <c r="G146" s="28"/>
      <c r="H146" s="27"/>
      <c r="I146" s="27"/>
      <c r="J146" s="16"/>
      <c r="K146" s="27"/>
      <c r="L146" s="27"/>
    </row>
    <row r="147" spans="1:12" ht="27.75" customHeight="1">
      <c r="A147" s="1">
        <f t="shared" si="6"/>
        <v>8</v>
      </c>
      <c r="B147" s="24" t="s">
        <v>128</v>
      </c>
      <c r="C147" s="22">
        <v>2127</v>
      </c>
      <c r="D147" s="30">
        <f>C147/C138</f>
        <v>0.011822462957533348</v>
      </c>
      <c r="E147" s="32"/>
      <c r="G147" s="16"/>
      <c r="H147" s="27"/>
      <c r="I147" s="27"/>
      <c r="J147" s="16"/>
      <c r="K147" s="27"/>
      <c r="L147" s="27"/>
    </row>
    <row r="148" spans="1:12" ht="23.25" customHeight="1">
      <c r="A148" s="1">
        <f t="shared" si="6"/>
        <v>9</v>
      </c>
      <c r="B148" s="47" t="s">
        <v>16</v>
      </c>
      <c r="C148" s="10">
        <f>1459+340</f>
        <v>1799</v>
      </c>
      <c r="D148" s="30">
        <f>C148/C138</f>
        <v>0.0099993469020228</v>
      </c>
      <c r="E148" s="41"/>
      <c r="G148" s="16"/>
      <c r="H148" s="27"/>
      <c r="I148" s="27"/>
      <c r="J148" s="16"/>
      <c r="K148" s="27"/>
      <c r="L148" s="27"/>
    </row>
    <row r="149" spans="1:12" ht="27" customHeight="1">
      <c r="A149" s="1">
        <f t="shared" si="6"/>
        <v>10</v>
      </c>
      <c r="B149" s="52" t="s">
        <v>89</v>
      </c>
      <c r="C149" s="25">
        <f>104+104+137.63+104+104+104+70.38+104+137.63+137.63+104+137.63</f>
        <v>1348.9</v>
      </c>
      <c r="D149" s="30">
        <f>C149/C138</f>
        <v>0.007497564778287134</v>
      </c>
      <c r="E149" s="69"/>
      <c r="G149" s="16"/>
      <c r="H149" s="27"/>
      <c r="I149" s="27"/>
      <c r="J149" s="16"/>
      <c r="K149" s="27"/>
      <c r="L149" s="27"/>
    </row>
    <row r="150" spans="1:5" ht="32.25" customHeight="1">
      <c r="A150" s="1">
        <f t="shared" si="6"/>
        <v>11</v>
      </c>
      <c r="B150" s="15" t="s">
        <v>154</v>
      </c>
      <c r="C150" s="59">
        <v>1210</v>
      </c>
      <c r="D150" s="30">
        <f>C150/C138</f>
        <v>0.006725519595023673</v>
      </c>
      <c r="E150" s="32"/>
    </row>
    <row r="151" spans="1:12" ht="24.75" customHeight="1">
      <c r="A151" s="1">
        <f t="shared" si="6"/>
        <v>12</v>
      </c>
      <c r="B151" s="24" t="s">
        <v>33</v>
      </c>
      <c r="C151" s="76">
        <v>1200</v>
      </c>
      <c r="D151" s="30">
        <f>C151/C138</f>
        <v>0.0066699367884532285</v>
      </c>
      <c r="E151" s="70"/>
      <c r="H151" s="4"/>
      <c r="I151" s="4"/>
      <c r="J151" s="4"/>
      <c r="K151" s="4"/>
      <c r="L151" s="4"/>
    </row>
    <row r="152" spans="1:5" ht="27.75" customHeight="1">
      <c r="A152" s="1">
        <f t="shared" si="6"/>
        <v>13</v>
      </c>
      <c r="B152" s="24" t="s">
        <v>94</v>
      </c>
      <c r="C152" s="22">
        <v>1170</v>
      </c>
      <c r="D152" s="30">
        <f>C152/C138</f>
        <v>0.006503188368741898</v>
      </c>
      <c r="E152" s="70"/>
    </row>
    <row r="153" spans="1:5" ht="33.75" customHeight="1">
      <c r="A153" s="1">
        <f t="shared" si="6"/>
        <v>14</v>
      </c>
      <c r="B153" s="13" t="s">
        <v>19</v>
      </c>
      <c r="C153" s="25">
        <f>403.54+422.69+196</f>
        <v>1022.23</v>
      </c>
      <c r="D153" s="30">
        <f>C153/C138</f>
        <v>0.0056818412360504535</v>
      </c>
      <c r="E153" s="32"/>
    </row>
    <row r="154" spans="1:5" ht="29.25" customHeight="1">
      <c r="A154" s="1">
        <f t="shared" si="6"/>
        <v>15</v>
      </c>
      <c r="B154" s="39" t="s">
        <v>124</v>
      </c>
      <c r="C154" s="10">
        <v>672</v>
      </c>
      <c r="D154" s="30">
        <f>C154/C138</f>
        <v>0.003735164601533808</v>
      </c>
      <c r="E154" s="32"/>
    </row>
    <row r="155" spans="1:5" ht="27" customHeight="1">
      <c r="A155" s="1">
        <f t="shared" si="6"/>
        <v>16</v>
      </c>
      <c r="B155" s="85" t="s">
        <v>32</v>
      </c>
      <c r="C155" s="10">
        <v>600</v>
      </c>
      <c r="D155" s="30">
        <f>C155/C138</f>
        <v>0.0033349683942266142</v>
      </c>
      <c r="E155" s="32"/>
    </row>
    <row r="156" spans="1:5" ht="25.5" customHeight="1">
      <c r="A156" s="1">
        <f t="shared" si="6"/>
        <v>17</v>
      </c>
      <c r="B156" s="58" t="s">
        <v>100</v>
      </c>
      <c r="C156" s="22">
        <f>217+58.3</f>
        <v>275.3</v>
      </c>
      <c r="D156" s="30">
        <f>C156/C138</f>
        <v>0.0015301946648843116</v>
      </c>
      <c r="E156" s="32"/>
    </row>
    <row r="157" spans="1:5" ht="32.25" customHeight="1">
      <c r="A157" s="1">
        <f t="shared" si="6"/>
        <v>18</v>
      </c>
      <c r="B157" s="20" t="s">
        <v>17</v>
      </c>
      <c r="C157" s="10">
        <v>250</v>
      </c>
      <c r="D157" s="30">
        <f>C157/C138</f>
        <v>0.0013895701642610895</v>
      </c>
      <c r="E157" s="32"/>
    </row>
    <row r="158" spans="1:5" ht="24.75" customHeight="1">
      <c r="A158" s="1">
        <f t="shared" si="6"/>
        <v>19</v>
      </c>
      <c r="B158" s="39" t="s">
        <v>101</v>
      </c>
      <c r="C158" s="22">
        <v>157</v>
      </c>
      <c r="D158" s="30">
        <f>C158/C138</f>
        <v>0.0008726500631559641</v>
      </c>
      <c r="E158" s="32"/>
    </row>
    <row r="159" spans="1:5" ht="28.5" customHeight="1">
      <c r="A159" s="1">
        <f t="shared" si="6"/>
        <v>20</v>
      </c>
      <c r="B159" s="42" t="s">
        <v>134</v>
      </c>
      <c r="C159" s="77">
        <f>24+34+19+14</f>
        <v>91</v>
      </c>
      <c r="D159" s="30">
        <f>C159/C138</f>
        <v>0.0005058035397910365</v>
      </c>
      <c r="E159" s="32"/>
    </row>
    <row r="160" spans="1:5" ht="22.5" customHeight="1">
      <c r="A160" s="1">
        <f t="shared" si="6"/>
        <v>21</v>
      </c>
      <c r="B160" s="49" t="s">
        <v>25</v>
      </c>
      <c r="C160" s="10">
        <v>1</v>
      </c>
      <c r="D160" s="30">
        <f>C160/C138</f>
        <v>5.558280657044358E-06</v>
      </c>
      <c r="E160" s="32"/>
    </row>
  </sheetData>
  <sheetProtection/>
  <mergeCells count="9">
    <mergeCell ref="A4:B4"/>
    <mergeCell ref="A101:B101"/>
    <mergeCell ref="A121:B121"/>
    <mergeCell ref="A138:B138"/>
    <mergeCell ref="A1:D1"/>
    <mergeCell ref="A2:D2"/>
    <mergeCell ref="A3:B3"/>
    <mergeCell ref="A112:B112"/>
    <mergeCell ref="A26:B26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11.125" style="0" customWidth="1"/>
    <col min="2" max="2" width="27.125" style="0" customWidth="1"/>
    <col min="3" max="3" width="12.875" style="0" customWidth="1"/>
    <col min="4" max="4" width="16.25390625" style="0" customWidth="1"/>
  </cols>
  <sheetData>
    <row r="1" spans="1:4" ht="42" customHeight="1">
      <c r="A1" s="105" t="s">
        <v>178</v>
      </c>
      <c r="B1" s="105"/>
      <c r="C1" s="105"/>
      <c r="D1" s="105"/>
    </row>
    <row r="2" spans="1:4" ht="13.5">
      <c r="A2" s="106" t="s">
        <v>156</v>
      </c>
      <c r="B2" s="106"/>
      <c r="C2" s="107">
        <v>120900</v>
      </c>
      <c r="D2" s="108">
        <f>C2/C6</f>
        <v>0.048909515624187244</v>
      </c>
    </row>
    <row r="3" spans="1:4" ht="13.5">
      <c r="A3" s="106" t="s">
        <v>157</v>
      </c>
      <c r="B3" s="106"/>
      <c r="C3" s="107">
        <v>1874605.61</v>
      </c>
      <c r="D3" s="108">
        <f>C3/C6</f>
        <v>0.7583627160585944</v>
      </c>
    </row>
    <row r="4" spans="1:5" ht="13.5">
      <c r="A4" s="106" t="s">
        <v>158</v>
      </c>
      <c r="B4" s="106"/>
      <c r="C4" s="107">
        <v>476249.26</v>
      </c>
      <c r="D4" s="108">
        <f>C4/C6</f>
        <v>0.19266435585589423</v>
      </c>
      <c r="E4" t="s">
        <v>177</v>
      </c>
    </row>
    <row r="5" spans="1:4" ht="13.5">
      <c r="A5" s="106" t="s">
        <v>159</v>
      </c>
      <c r="B5" s="106"/>
      <c r="C5" s="107">
        <v>156.75</v>
      </c>
      <c r="D5" s="108">
        <f>C5/C6</f>
        <v>6.341246132416335E-05</v>
      </c>
    </row>
    <row r="6" spans="1:4" ht="20.25">
      <c r="A6" s="109" t="s">
        <v>160</v>
      </c>
      <c r="B6" s="109"/>
      <c r="C6" s="110">
        <f>C2+C3+C5+C4</f>
        <v>2471911.62</v>
      </c>
      <c r="D6" s="111"/>
    </row>
    <row r="8" spans="1:4" ht="37.5">
      <c r="A8" s="112" t="s">
        <v>161</v>
      </c>
      <c r="B8" s="113" t="s">
        <v>162</v>
      </c>
      <c r="C8" s="113" t="s">
        <v>163</v>
      </c>
      <c r="D8" s="113" t="s">
        <v>164</v>
      </c>
    </row>
    <row r="9" spans="1:4" ht="15">
      <c r="A9" s="114" t="s">
        <v>165</v>
      </c>
      <c r="B9" s="115">
        <v>91770.9</v>
      </c>
      <c r="C9" s="10">
        <v>99692.29</v>
      </c>
      <c r="D9" s="10">
        <f>B9-C9</f>
        <v>-7921.389999999999</v>
      </c>
    </row>
    <row r="10" spans="1:4" ht="15">
      <c r="A10" s="114" t="s">
        <v>166</v>
      </c>
      <c r="B10" s="115">
        <v>63120.94</v>
      </c>
      <c r="C10" s="10">
        <v>161401.76</v>
      </c>
      <c r="D10" s="10">
        <f aca="true" t="shared" si="0" ref="D10:D21">B10-C10</f>
        <v>-98280.82</v>
      </c>
    </row>
    <row r="11" spans="1:4" ht="15">
      <c r="A11" s="114" t="s">
        <v>167</v>
      </c>
      <c r="B11" s="115">
        <v>56558.35</v>
      </c>
      <c r="C11" s="10">
        <f>74629.5-289.34</f>
        <v>74340.16</v>
      </c>
      <c r="D11" s="10">
        <f t="shared" si="0"/>
        <v>-17781.810000000005</v>
      </c>
    </row>
    <row r="12" spans="1:4" ht="15">
      <c r="A12" s="114" t="s">
        <v>168</v>
      </c>
      <c r="B12" s="115">
        <v>71776.55</v>
      </c>
      <c r="C12" s="10">
        <v>190001.29</v>
      </c>
      <c r="D12" s="10">
        <f t="shared" si="0"/>
        <v>-118224.74</v>
      </c>
    </row>
    <row r="13" spans="1:4" ht="15">
      <c r="A13" s="114" t="s">
        <v>169</v>
      </c>
      <c r="B13" s="115">
        <v>102497.37</v>
      </c>
      <c r="C13" s="10">
        <v>113030.11</v>
      </c>
      <c r="D13" s="10">
        <f t="shared" si="0"/>
        <v>-10532.740000000005</v>
      </c>
    </row>
    <row r="14" spans="1:4" ht="15">
      <c r="A14" s="114" t="s">
        <v>170</v>
      </c>
      <c r="B14" s="115">
        <v>34343.05</v>
      </c>
      <c r="C14" s="10">
        <v>115736.11</v>
      </c>
      <c r="D14" s="10">
        <f t="shared" si="0"/>
        <v>-81393.06</v>
      </c>
    </row>
    <row r="15" spans="1:4" ht="15">
      <c r="A15" s="114" t="s">
        <v>171</v>
      </c>
      <c r="B15" s="115">
        <v>34172.59</v>
      </c>
      <c r="C15" s="10">
        <v>72593.2</v>
      </c>
      <c r="D15" s="10">
        <f t="shared" si="0"/>
        <v>-38420.61</v>
      </c>
    </row>
    <row r="16" spans="1:4" ht="15">
      <c r="A16" s="114" t="s">
        <v>172</v>
      </c>
      <c r="B16" s="115">
        <v>379996.27</v>
      </c>
      <c r="C16" s="10">
        <v>184595.28</v>
      </c>
      <c r="D16" s="10">
        <f t="shared" si="0"/>
        <v>195400.99000000002</v>
      </c>
    </row>
    <row r="17" spans="1:4" ht="15">
      <c r="A17" s="114" t="s">
        <v>173</v>
      </c>
      <c r="B17" s="115">
        <f>229747.8-11880</f>
        <v>217867.8</v>
      </c>
      <c r="C17" s="10">
        <v>191803.46</v>
      </c>
      <c r="D17" s="10">
        <f t="shared" si="0"/>
        <v>26064.339999999997</v>
      </c>
    </row>
    <row r="18" spans="1:4" ht="15">
      <c r="A18" s="114" t="s">
        <v>174</v>
      </c>
      <c r="B18" s="115">
        <v>450498.23</v>
      </c>
      <c r="C18" s="10">
        <v>161447.16</v>
      </c>
      <c r="D18" s="10">
        <f t="shared" si="0"/>
        <v>289051.06999999995</v>
      </c>
    </row>
    <row r="19" spans="1:4" ht="15">
      <c r="A19" s="114" t="s">
        <v>175</v>
      </c>
      <c r="B19" s="115">
        <v>30747.81</v>
      </c>
      <c r="C19" s="10">
        <v>313964.09</v>
      </c>
      <c r="D19" s="10">
        <f t="shared" si="0"/>
        <v>-283216.28</v>
      </c>
    </row>
    <row r="20" spans="1:4" ht="12">
      <c r="A20" s="114" t="s">
        <v>176</v>
      </c>
      <c r="B20" s="10">
        <v>938561.76</v>
      </c>
      <c r="C20" s="10">
        <v>200620.81</v>
      </c>
      <c r="D20" s="10">
        <f t="shared" si="0"/>
        <v>737940.95</v>
      </c>
    </row>
    <row r="21" spans="1:4" ht="13.5">
      <c r="A21" s="114" t="s">
        <v>160</v>
      </c>
      <c r="B21" s="116">
        <f>SUM(B9:B20)</f>
        <v>2471911.62</v>
      </c>
      <c r="C21" s="116">
        <f>SUM(C9:C20)</f>
        <v>1879225.72</v>
      </c>
      <c r="D21" s="116">
        <f t="shared" si="0"/>
        <v>592685.9000000001</v>
      </c>
    </row>
    <row r="23" ht="12">
      <c r="B23" s="4"/>
    </row>
  </sheetData>
  <sheetProtection/>
  <mergeCells count="5">
    <mergeCell ref="A1:D1"/>
    <mergeCell ref="A2:B2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HP</cp:lastModifiedBy>
  <cp:lastPrinted>2018-01-22T09:18:14Z</cp:lastPrinted>
  <dcterms:created xsi:type="dcterms:W3CDTF">2014-01-08T19:06:29Z</dcterms:created>
  <dcterms:modified xsi:type="dcterms:W3CDTF">2024-03-06T13:04:50Z</dcterms:modified>
  <cp:category/>
  <cp:version/>
  <cp:contentType/>
  <cp:contentStatus/>
</cp:coreProperties>
</file>