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<sst xmlns="http://schemas.openxmlformats.org/spreadsheetml/2006/main" count="225" uniqueCount="196">
  <si>
    <t>№</t>
  </si>
  <si>
    <t>в %</t>
  </si>
  <si>
    <t>Калиновская Матющенко 02 Олейникова 03</t>
  </si>
  <si>
    <t>январь</t>
  </si>
  <si>
    <t>февраль</t>
  </si>
  <si>
    <t xml:space="preserve">март </t>
  </si>
  <si>
    <t>апрель</t>
  </si>
  <si>
    <t>май</t>
  </si>
  <si>
    <t xml:space="preserve"> 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</si>
  <si>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</si>
  <si>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</si>
  <si>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</si>
  <si>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</si>
  <si>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</si>
  <si>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</si>
  <si>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Итого</t>
  </si>
  <si>
    <t>дети</t>
  </si>
  <si>
    <t>взрослые</t>
  </si>
  <si>
    <t>прочее</t>
  </si>
  <si>
    <t>Всього витрат фонду (грн)</t>
  </si>
  <si>
    <t>Звіт про витрати</t>
  </si>
  <si>
    <t>Оплата за водопостачання та водовiдведення НIКОПОЛЬВОДОКАНАЛ</t>
  </si>
  <si>
    <t>Оплата за надання послуг з утримання будинку та прибудинкової територiї   ТОВ КК "Домком Нікополь"</t>
  </si>
  <si>
    <t>Стаття витрат</t>
  </si>
  <si>
    <t>Перерахована сума, гривень</t>
  </si>
  <si>
    <t>Витрат за програмою "Допомога хворим дітям"</t>
  </si>
  <si>
    <t>Інші види допомоги</t>
  </si>
  <si>
    <t>Адміністративні витрати фонду</t>
  </si>
  <si>
    <t>Єдиний соціальний внесок</t>
  </si>
  <si>
    <t>Банківські послуги</t>
  </si>
  <si>
    <t>Поштові витрати</t>
  </si>
  <si>
    <t xml:space="preserve">Витрат за програмою "Допомога онкохворим  дітям"  </t>
  </si>
  <si>
    <t xml:space="preserve">Витрат за програмою "Допомога онкохворим  дорослим" Проєкт «Валерія Help» </t>
  </si>
  <si>
    <t>Витрат за програмою "Допомога хворим дорослим. Проєкт« Валерія Help »</t>
  </si>
  <si>
    <t>Відшкодування орендодавцю суми за комунальні послуги (газ, електроенергія)</t>
  </si>
  <si>
    <t xml:space="preserve">Відшкодування орендодавцю суми за послуги по обслуговуванню приміщення </t>
  </si>
  <si>
    <t xml:space="preserve">Заробітна плата керівника проєктів (включаючи НДФЛ,військовий збір) </t>
  </si>
  <si>
    <t xml:space="preserve">Заробітна плата бухгалтера (включаючи НДФЛ,військовий збір) </t>
  </si>
  <si>
    <t>за період з 01.01.2021 по 31.12.2021</t>
  </si>
  <si>
    <t>Орендна плата за 2021 рік</t>
  </si>
  <si>
    <t>Допомога бійцям в зоні ООС (придбання медикаментів)</t>
  </si>
  <si>
    <t>Допомога молодій жінці Рощик Єлізаветі, позбавленої батьківського піклування на прохання Нікопольського Центру соціальних служб (придбання ліків)</t>
  </si>
  <si>
    <t>Допомога багатодітній родині (придбання ліків)</t>
  </si>
  <si>
    <t>Витрати по залученню пожертвувань (придбання благодійних скриньок для пожертв  5 шт)</t>
  </si>
  <si>
    <t>ВIЙСЬКОВИЙ ЗБIР НА НЕЦIЛЬОВУ БЛАГОДIЙНУ ДОПОМОГУ</t>
  </si>
  <si>
    <t>ПДФО НА НЕЦIЛЬОВУ БЛАГОДIЙНУ ДОПОМОГУ</t>
  </si>
  <si>
    <t>Заправка картриджа в кiлькостi  2 шт</t>
  </si>
  <si>
    <t>ВIДШКОДУВАННЯ орендодавцю ПОДАТКУ  НА ЗЕМЛЮ З ЮРИДИЧНИХ ОСIБ КЕКВ 2800 ЗА 2021Р</t>
  </si>
  <si>
    <t>Допомога на лікування ускладненої пневмонії молодому чоловіку з числа дітей-сиріт за проханням Нікопольського міського центру соціальних служб   (придбання ліків)</t>
  </si>
  <si>
    <t>Допомога молодій жінці з числа дітей, позбавлених батьківського піклування на прохання Нікопольського міського центру соціальних служб (придбання медикаментів)</t>
  </si>
  <si>
    <t>Допомога літній людині,що опинилася у скрутних життєвих обставинах на прохання Нікопольського Благодійного Фонду "Нове життя" (лікарські препарати на лікування серцево-судинного захворювання)</t>
  </si>
  <si>
    <t xml:space="preserve">Носик Єва </t>
  </si>
  <si>
    <t>Оплата за iнформацiйнi послуги домена та хостінга (сайт nikopolkids.org)</t>
  </si>
  <si>
    <t>Допомога неповнолітній  дитині, позбавленій батьківського піклування на прохання  Служби у справах дітей НМР (придбання ліків)</t>
  </si>
  <si>
    <t>Допомога дитині Ханас Вікторії на прохання Нікопольського міського центру соціальних служб (придбання молочної суміші)</t>
  </si>
  <si>
    <t>Допомога чоловіку похилого віку, який опинився у складних життєвих обставинах на прохання  БФ "Нове життя"(підгузники для дорослих)</t>
  </si>
  <si>
    <t xml:space="preserve">Постер на папері 3,0м*6,0м в кількості 2 шт </t>
  </si>
  <si>
    <t>Допомога новонародженої дитині з недоношеністю, синдромом дихальних розладів на прохання Нікопольського міського центру соціальних служб (лікарські препарати, вироби медичного призначення)</t>
  </si>
  <si>
    <t>Подарунок для учня -  переможця конкурсу по написанню есе на тему "Як робити маленькі справи з великою любов'ю"</t>
  </si>
  <si>
    <t xml:space="preserve">Подарунки (цукерки) в кількості 10 паков.+ 50 м/паков  для волонтерів, дітей, благодійників фонду </t>
  </si>
  <si>
    <t>Витрати по організації благодійного заходу, присвяченого десятиріччю фонду (купівля фарб по тканині  5 бан., контур по тканині, гуашь "ЛУЧ" 24 кольори, Холст 40*45, набір рукавичок одноразових відрив. 100 шт/упак.   2 пак., друк поліграфічної продукції  наклейка 16 шт.,  запрошення 10 шт.,солодощі, набір стаканів паперових, пакет подарунковий 230*230, 320*260, помпони, продукти харчування, напої, мінеральна вода, предмети гігієни</t>
  </si>
  <si>
    <t xml:space="preserve"> Програмні витрати</t>
  </si>
  <si>
    <t>Допомога дітям позбавлених батьківського піклування на прохання Служби у справах дітей НМР (чемерічна вода)</t>
  </si>
  <si>
    <t>Адмiнiстративний збiр за державну реєстрацiю речових прав на нерухоме майно та їх обтяжень</t>
  </si>
  <si>
    <t>Збiр з операцiй придбання (купiвлi-продажу) нерухомого майна, фiнансове забезпечення нотарiуса за державну реєстрацiю</t>
  </si>
  <si>
    <t>Витрати на ведення благодійної діяльності (оплата за нежитлове напівпідвальне приміщення  за адресою просп. Трубників 30 згідно нотаріальному договору купівлі-продажу)</t>
  </si>
  <si>
    <t xml:space="preserve">Канцтовари: файли А4 глянц.,  папка А4 с клипсой, папка для бумаг А4 0,35  на зав'язках,  бумага А 4  80г/м2 </t>
  </si>
  <si>
    <t>Допомога сім'ї,що опинилася в складних життєвих обставинах на прохання Нікопольського міського центру соціальних служб) (чемерічна вода)</t>
  </si>
  <si>
    <t>Подарунок (набір рушників)  учаснику переможцю акції-виставки на найстарішу іграшку,  проведену спільно з краєзнавчим музеєм м. Нікополь</t>
  </si>
  <si>
    <t>Оплата за послуги  по договору № ДНк /000779-JCP вiд 01.09.2021 ЯВIР НIКОПОЛЬ-1 ТОВ</t>
  </si>
  <si>
    <t>Оплата за послуги з технiчного обслуговування та спостереження системи протипожежного захисту згiдно договору № 216-НО</t>
  </si>
  <si>
    <t>Допомога молодій людині з інвалідністю (благодійна матеріальна допомога)</t>
  </si>
  <si>
    <t>Допомога родині Болдир Проєкт "Кімната для Михайла" (оплата за будiвельнi матерiали (брус, фанера ФК 6,5)</t>
  </si>
  <si>
    <t>Матеріали для оздоблення та фарбування стін у новому приміщенні офісу</t>
  </si>
  <si>
    <t>Купівля постільної білизни  11 комплектів, вода, фрукти, солодощі для Госпітальної бази COVID -19  Нікопольська лікарня №4</t>
  </si>
  <si>
    <t xml:space="preserve">Допомога  хірургічному відділенню Нікопольської міської лікарні №4 (лікарські препарати для лікування безхатька) </t>
  </si>
  <si>
    <t>Концентратор кисневий "Біомед" 7 F-10  2 шт.,SARS-CoV-2 Antigen(GICA)/Експрес-тести для визначення антигена до вiрусу COVID-19  для Нікопольського центру первинної медико-санітарної  допомоги</t>
  </si>
  <si>
    <t xml:space="preserve">Оплата за вивiску на нове приміщення фонду </t>
  </si>
  <si>
    <t>Опромінювач-рециркулятор бактерицидний ОРБ 2-30 "Фиолет Т04", SARS-CoV-2 Antigen(GICA)/Експрес-тести для визначення антигена до вiрусу COVID-19 для Нікопольської дитячої міської лікарні</t>
  </si>
  <si>
    <t>ОПЛАТА ЗА SARS-COV-2 ANTIGEN(GICA)/ЕКСПРЕС-ТЕСТ 25 шт   ПУЛЬСОКСИМЕТР</t>
  </si>
  <si>
    <t xml:space="preserve">Бензин автомобільний А-95, А-92     для поїздки по виїмці благодійних коштів зі скриньок  </t>
  </si>
  <si>
    <t>Друк поліграфічної продукції (подяки в кількості 56 шт,плакат 450*350, плакат 594*841  )</t>
  </si>
  <si>
    <t>СПЛАТА ЗА ЗАМIНУ РАДIАТОРНИХ КРАНIВ в орендованому приміщенні</t>
  </si>
  <si>
    <t>Оплата за послуги з утримання будинку  та прибудинкової територiї згiдно договору № 5 вiд 01.11.2021р.ОСББ "Мiй Дiм-30"</t>
  </si>
  <si>
    <t>Оплата за електричну енергiю ТОВ, ДНIПРОВСЬКI ЕНЕРГЕТИЧНI ПОСЛУГИ</t>
  </si>
  <si>
    <t xml:space="preserve">Купівля засобів антисептичних, рушників паперових, відро д/сміття пласт,  кошики д/паперів з фіксатором  </t>
  </si>
  <si>
    <t>Допомога у зв'язку з похованням Михайлової Кароліни, постраждалої у ДТП</t>
  </si>
  <si>
    <t>Допомога у зв'язку з похованням Локайчук Тетяни (онкологія)</t>
  </si>
  <si>
    <t>Допомога сім'ї, яка опинилася в складних життєвих обставинах</t>
  </si>
  <si>
    <t xml:space="preserve">Премія за підсумками року працівникам фонду (включаючи НДФЛ,військовий збір) </t>
  </si>
  <si>
    <t>Аудiометр для об'єктивного дослiдження слуху ERO SCAN,  Концентратор кисневий "Біомед", Медичне обладнання: Монітор пацієнта , датчик для дітей/новонароджених, манжети для дітей/новонароджених, Дефібрилятор, Засіб реабілітації:  Підйомник електричний OSD-1790V для   Нікопольського медичного спеціалізованого центру медико-соціальної реабілітації дітей</t>
  </si>
  <si>
    <t>Допомога медичним установам м. Нікополя</t>
  </si>
  <si>
    <t>Допомога дiтям, позбавлених батькiвського пiклування на прохання Служби у справах дітей Нікопольської міської ради (придбання одягу)</t>
  </si>
  <si>
    <t>Щітки для прибирання Утюжок,    термометр кімнатний,  відро овальне,  набір д/прибирання з довго ручк складний совок+щітка для офісу</t>
  </si>
  <si>
    <t xml:space="preserve">Гридасов Ростислав </t>
  </si>
  <si>
    <t xml:space="preserve">Дорошенко Наталя </t>
  </si>
  <si>
    <t xml:space="preserve">Мудра Лідія </t>
  </si>
  <si>
    <t xml:space="preserve">Чугункіна Тетяна </t>
  </si>
  <si>
    <t xml:space="preserve">Мала Яна </t>
  </si>
  <si>
    <t xml:space="preserve">Прудкова Світлана </t>
  </si>
  <si>
    <t xml:space="preserve">Мотуз Марина </t>
  </si>
  <si>
    <t xml:space="preserve">Волков Валентин </t>
  </si>
  <si>
    <t xml:space="preserve">Кобзев Олексій </t>
  </si>
  <si>
    <t xml:space="preserve">Бойко Лариса </t>
  </si>
  <si>
    <t xml:space="preserve">Ізмайлова Наталя </t>
  </si>
  <si>
    <t>Остапенко Катерина</t>
  </si>
  <si>
    <t xml:space="preserve">Локайчук Тетяна </t>
  </si>
  <si>
    <t xml:space="preserve">Заіграєва Світлана </t>
  </si>
  <si>
    <t xml:space="preserve">Горох Ольга </t>
  </si>
  <si>
    <t xml:space="preserve">Володін Денис </t>
  </si>
  <si>
    <t>Горiшнiй Олексій</t>
  </si>
  <si>
    <t xml:space="preserve">Доруда Євгенія </t>
  </si>
  <si>
    <t xml:space="preserve">Воробйов Олег </t>
  </si>
  <si>
    <t xml:space="preserve">Лантух Валентина </t>
  </si>
  <si>
    <t xml:space="preserve">Лук'янов Віктор </t>
  </si>
  <si>
    <t xml:space="preserve">Третяк Віра </t>
  </si>
  <si>
    <t xml:space="preserve">Синевець Сергій </t>
  </si>
  <si>
    <t>ЕСАУЛОВА ЛЮБОВ</t>
  </si>
  <si>
    <t xml:space="preserve">Коваленко Олена </t>
  </si>
  <si>
    <t>Чугункин Алексей</t>
  </si>
  <si>
    <t xml:space="preserve">Дорош Наталя </t>
  </si>
  <si>
    <t xml:space="preserve">Грабчук Вікторія </t>
  </si>
  <si>
    <t xml:space="preserve">Білецький  Георгій,Білецький Максим  </t>
  </si>
  <si>
    <t xml:space="preserve">Бабенко Карина </t>
  </si>
  <si>
    <t xml:space="preserve">Прокопчук Ярослав </t>
  </si>
  <si>
    <t xml:space="preserve">Бабич Адам </t>
  </si>
  <si>
    <t xml:space="preserve">Малюгін Богдан </t>
  </si>
  <si>
    <t xml:space="preserve">Дудар Микола </t>
  </si>
  <si>
    <t xml:space="preserve">Шотер Давид </t>
  </si>
  <si>
    <t>Мухiна Алiса</t>
  </si>
  <si>
    <t>Миролюбова Поліна</t>
  </si>
  <si>
    <t>Макуховський В'ячеслав</t>
  </si>
  <si>
    <t xml:space="preserve">Бєлєкчі Філіп </t>
  </si>
  <si>
    <t>Кірьякулова Олександра</t>
  </si>
  <si>
    <t xml:space="preserve">Макаренко Кирил </t>
  </si>
  <si>
    <t>Животов Дмитро</t>
  </si>
  <si>
    <t>Дудар Олексій</t>
  </si>
  <si>
    <t>Кудрявцева Антоніна</t>
  </si>
  <si>
    <t>Жданова Вікторія</t>
  </si>
  <si>
    <t xml:space="preserve">Гузенко Анастасiя  </t>
  </si>
  <si>
    <t xml:space="preserve">Солодовников Олександр </t>
  </si>
  <si>
    <t xml:space="preserve">Фоміна Любов </t>
  </si>
  <si>
    <t>Рвачева Вікторія</t>
  </si>
  <si>
    <t xml:space="preserve">Сопронюк Милана </t>
  </si>
  <si>
    <t xml:space="preserve">Михайлова Кароліна </t>
  </si>
  <si>
    <t xml:space="preserve"> Пацюк Софiя </t>
  </si>
  <si>
    <t xml:space="preserve">Гнєзділова Каміла </t>
  </si>
  <si>
    <t xml:space="preserve">Дрок Олександр </t>
  </si>
  <si>
    <t xml:space="preserve">Моргун Антон </t>
  </si>
  <si>
    <t xml:space="preserve">Жмуйдова Ганна </t>
  </si>
  <si>
    <t>Фоміна Валерія</t>
  </si>
  <si>
    <t>Ізюмцев Олег</t>
  </si>
  <si>
    <t xml:space="preserve">Степанов Василь </t>
  </si>
  <si>
    <t>Болдир Михайло</t>
  </si>
  <si>
    <t xml:space="preserve">Лещенко Любов </t>
  </si>
  <si>
    <t xml:space="preserve">Даншина Галина </t>
  </si>
  <si>
    <t xml:space="preserve">Гаврилюк Юрій </t>
  </si>
  <si>
    <t xml:space="preserve">Селезньов Павел </t>
  </si>
  <si>
    <t xml:space="preserve">Швидка Галина  </t>
  </si>
  <si>
    <t xml:space="preserve">Карнаушенко Віта </t>
  </si>
  <si>
    <t xml:space="preserve">Базима Катерина </t>
  </si>
  <si>
    <t xml:space="preserve">Братищенко Анатолій </t>
  </si>
  <si>
    <t>Лозовий Петро</t>
  </si>
  <si>
    <t xml:space="preserve"> Есаулова Любов </t>
  </si>
  <si>
    <t xml:space="preserve">Шлафман Геннадій </t>
  </si>
  <si>
    <t xml:space="preserve">Копилова Єлизавета </t>
  </si>
  <si>
    <t xml:space="preserve">Черних Сергій </t>
  </si>
  <si>
    <t>Паригина Валерія</t>
  </si>
  <si>
    <t>Мудрий Володимир</t>
  </si>
  <si>
    <t xml:space="preserve">Петренко Ольга </t>
  </si>
  <si>
    <t>Матвiйчук  Алла</t>
  </si>
  <si>
    <t xml:space="preserve"> Шпарман-Мокра Катерина </t>
  </si>
  <si>
    <t>Оверко Світлана</t>
  </si>
  <si>
    <t>Ткачова Лариса</t>
  </si>
  <si>
    <t xml:space="preserve">Вірієнко Галина </t>
  </si>
  <si>
    <t xml:space="preserve">Горносталь Лілія </t>
  </si>
  <si>
    <t xml:space="preserve">Доруда Наталя </t>
  </si>
  <si>
    <t>Матвієць Олена</t>
  </si>
  <si>
    <t>Катран Валентина</t>
  </si>
  <si>
    <t xml:space="preserve">Швайка Іван </t>
  </si>
  <si>
    <t xml:space="preserve">Сокрут Інна </t>
  </si>
  <si>
    <t xml:space="preserve">Кузнецов Дмитро </t>
  </si>
  <si>
    <t xml:space="preserve">Кузнецов Костянтин </t>
  </si>
  <si>
    <t xml:space="preserve">Халіков Євген </t>
  </si>
  <si>
    <t xml:space="preserve">Косенко Олександр </t>
  </si>
  <si>
    <t xml:space="preserve">Чайченко Татьяна </t>
  </si>
  <si>
    <t xml:space="preserve">Албакова Мадіна </t>
  </si>
  <si>
    <t xml:space="preserve">Білецька Марина </t>
  </si>
  <si>
    <t xml:space="preserve">Маначина Людмила </t>
  </si>
  <si>
    <t xml:space="preserve">Трубіна Катерина </t>
  </si>
  <si>
    <t xml:space="preserve">Йорж Тетяна </t>
  </si>
  <si>
    <t>Титаренко Олександр</t>
  </si>
  <si>
    <t xml:space="preserve">Цегельник Ганна </t>
  </si>
  <si>
    <t xml:space="preserve">Єрмаков Вадим </t>
  </si>
  <si>
    <t xml:space="preserve">П'ятаков Анатолій </t>
  </si>
  <si>
    <t>Копилова Марина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</si>
</sst>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%"/>
    <numFmt numFmtId="188" formatCode="0.0%"/>
  </numFmts>
  <fonts count="52">
    <font>
      <sz val="10"/>
      <name val="Arial Cyr"/>
      <family val="0"/>
    </font>
    <font>
      <b/>
      <sz val="13"/>
      <color indexed="8"/>
      <name val="Verdana"/>
      <family val="2"/>
    </font>
    <font>
      <sz val="8"/>
      <name val="Arial Cyr"/>
      <family val="0"/>
    </font>
    <font>
      <b/>
      <sz val="10"/>
      <color indexed="8"/>
      <name val="Verdana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Verdana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9"/>
      <name val="Georgia"/>
      <family val="1"/>
    </font>
    <font>
      <sz val="9"/>
      <name val="Georgia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2" fontId="0" fillId="34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0" borderId="13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0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2" fontId="4" fillId="37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2" fontId="4" fillId="17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left" wrapText="1"/>
    </xf>
    <xf numFmtId="0" fontId="0" fillId="34" borderId="13" xfId="0" applyFill="1" applyBorder="1" applyAlignment="1">
      <alignment vertical="top" wrapText="1"/>
    </xf>
    <xf numFmtId="2" fontId="4" fillId="35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2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0" fillId="0" borderId="13" xfId="0" applyFill="1" applyBorder="1" applyAlignment="1">
      <alignment wrapText="1"/>
    </xf>
    <xf numFmtId="0" fontId="0" fillId="0" borderId="10" xfId="0" applyBorder="1" applyAlignment="1">
      <alignment wrapText="1"/>
    </xf>
    <xf numFmtId="9" fontId="4" fillId="33" borderId="12" xfId="0" applyNumberFormat="1" applyFont="1" applyFill="1" applyBorder="1" applyAlignment="1">
      <alignment/>
    </xf>
    <xf numFmtId="9" fontId="4" fillId="35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0" fontId="5" fillId="0" borderId="12" xfId="0" applyNumberFormat="1" applyFont="1" applyBorder="1" applyAlignment="1">
      <alignment/>
    </xf>
    <xf numFmtId="10" fontId="5" fillId="35" borderId="12" xfId="0" applyNumberFormat="1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10" fontId="5" fillId="17" borderId="12" xfId="0" applyNumberFormat="1" applyFont="1" applyFill="1" applyBorder="1" applyAlignment="1">
      <alignment/>
    </xf>
    <xf numFmtId="10" fontId="5" fillId="0" borderId="14" xfId="0" applyNumberFormat="1" applyFont="1" applyBorder="1" applyAlignment="1">
      <alignment/>
    </xf>
    <xf numFmtId="10" fontId="5" fillId="37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1" fillId="0" borderId="11" xfId="0" applyFont="1" applyBorder="1" applyAlignment="1">
      <alignment/>
    </xf>
    <xf numFmtId="2" fontId="4" fillId="36" borderId="10" xfId="0" applyNumberFormat="1" applyFont="1" applyFill="1" applyBorder="1" applyAlignment="1">
      <alignment/>
    </xf>
    <xf numFmtId="10" fontId="5" fillId="36" borderId="12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wrapText="1"/>
    </xf>
    <xf numFmtId="10" fontId="5" fillId="38" borderId="12" xfId="0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 wrapText="1"/>
    </xf>
    <xf numFmtId="10" fontId="5" fillId="39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15" fillId="34" borderId="10" xfId="0" applyFont="1" applyFill="1" applyBorder="1" applyAlignment="1">
      <alignment horizontal="justify" vertical="center"/>
    </xf>
    <xf numFmtId="0" fontId="51" fillId="34" borderId="1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2" fontId="12" fillId="34" borderId="14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0" fontId="0" fillId="34" borderId="0" xfId="0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 wrapText="1"/>
    </xf>
    <xf numFmtId="2" fontId="0" fillId="0" borderId="11" xfId="0" applyNumberFormat="1" applyBorder="1" applyAlignment="1">
      <alignment/>
    </xf>
    <xf numFmtId="0" fontId="7" fillId="17" borderId="12" xfId="0" applyFont="1" applyFill="1" applyBorder="1" applyAlignment="1">
      <alignment horizontal="left" wrapText="1"/>
    </xf>
    <xf numFmtId="0" fontId="7" fillId="17" borderId="15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7" fillId="39" borderId="12" xfId="0" applyFont="1" applyFill="1" applyBorder="1" applyAlignment="1">
      <alignment horizontal="left"/>
    </xf>
    <xf numFmtId="0" fontId="7" fillId="39" borderId="15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workbookViewId="0" topLeftCell="A167">
      <selection activeCell="F165" sqref="F165"/>
    </sheetView>
  </sheetViews>
  <sheetFormatPr defaultColWidth="9.00390625" defaultRowHeight="12.75"/>
  <cols>
    <col min="1" max="1" width="4.00390625" style="0" customWidth="1"/>
    <col min="2" max="2" width="57.25390625" style="0" customWidth="1"/>
    <col min="3" max="3" width="16.25390625" style="0" customWidth="1"/>
    <col min="4" max="4" width="11.875" style="0" customWidth="1"/>
    <col min="6" max="6" width="13.25390625" style="0" customWidth="1"/>
    <col min="7" max="7" width="10.75390625" style="0" customWidth="1"/>
    <col min="8" max="8" width="9.50390625" style="0" bestFit="1" customWidth="1"/>
    <col min="9" max="9" width="10.75390625" style="0" customWidth="1"/>
    <col min="12" max="12" width="11.75390625" style="0" customWidth="1"/>
    <col min="15" max="15" width="10.25390625" style="0" customWidth="1"/>
  </cols>
  <sheetData>
    <row r="1" spans="1:6" ht="16.5">
      <c r="A1" s="94" t="s">
        <v>20</v>
      </c>
      <c r="B1" s="94"/>
      <c r="C1" s="94"/>
      <c r="D1" s="94"/>
      <c r="E1" s="59"/>
      <c r="F1" s="8"/>
    </row>
    <row r="2" spans="1:6" ht="21.75" customHeight="1">
      <c r="A2" s="94" t="s">
        <v>38</v>
      </c>
      <c r="B2" s="94"/>
      <c r="C2" s="94"/>
      <c r="D2" s="94"/>
      <c r="E2" s="59"/>
      <c r="F2" s="8"/>
    </row>
    <row r="3" spans="1:16" ht="25.5" customHeight="1">
      <c r="A3" s="95" t="s">
        <v>19</v>
      </c>
      <c r="B3" s="96"/>
      <c r="C3" s="5">
        <f>C35+C64+C115+C122+C158+C8+C142+C4</f>
        <v>1783007.7099999997</v>
      </c>
      <c r="D3" s="50">
        <v>1</v>
      </c>
      <c r="E3" s="8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7.75" customHeight="1">
      <c r="A4" s="92" t="s">
        <v>31</v>
      </c>
      <c r="B4" s="92"/>
      <c r="C4" s="43">
        <f>C6+C7</f>
        <v>125960.2</v>
      </c>
      <c r="D4" s="51">
        <f>C4/C3</f>
        <v>0.0706447870603992</v>
      </c>
      <c r="E4" s="80"/>
      <c r="F4" s="78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27.75" customHeight="1">
      <c r="A5" s="2" t="s">
        <v>0</v>
      </c>
      <c r="B5" s="2" t="s">
        <v>23</v>
      </c>
      <c r="C5" s="3" t="s">
        <v>24</v>
      </c>
      <c r="D5" s="52" t="s">
        <v>1</v>
      </c>
      <c r="E5" s="80"/>
      <c r="F5" s="70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27.75" customHeight="1">
      <c r="A6" s="2">
        <v>1</v>
      </c>
      <c r="B6" s="36" t="s">
        <v>94</v>
      </c>
      <c r="C6" s="44">
        <f>15280+15280+7581.6+22744.8+3794.8+9469.5+15280+15280+2067+713.5+151.5+6581.7+251.7+363</f>
        <v>114839.09999999999</v>
      </c>
      <c r="D6" s="53">
        <f>C6/C4</f>
        <v>0.9117094129733042</v>
      </c>
      <c r="E6" s="80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27.75" customHeight="1">
      <c r="A7" s="2">
        <v>2</v>
      </c>
      <c r="B7" s="39" t="s">
        <v>95</v>
      </c>
      <c r="C7" s="44">
        <f>5557.1+5450+114</f>
        <v>11121.1</v>
      </c>
      <c r="D7" s="53">
        <f>C7/C4</f>
        <v>0.08829058702669573</v>
      </c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32.25" customHeight="1">
      <c r="A8" s="92" t="s">
        <v>32</v>
      </c>
      <c r="B8" s="92"/>
      <c r="C8" s="17">
        <f>SUM(C10:C34)</f>
        <v>165232.44000000003</v>
      </c>
      <c r="D8" s="54">
        <f>C8/C3</f>
        <v>0.09267062563627392</v>
      </c>
      <c r="E8" s="8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25.5" customHeight="1">
      <c r="A9" s="2" t="s">
        <v>0</v>
      </c>
      <c r="B9" s="2" t="s">
        <v>23</v>
      </c>
      <c r="C9" s="3" t="s">
        <v>24</v>
      </c>
      <c r="D9" s="52" t="s">
        <v>1</v>
      </c>
      <c r="E9" s="8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25.5" customHeight="1">
      <c r="A10" s="15">
        <v>1</v>
      </c>
      <c r="B10" s="40" t="s">
        <v>96</v>
      </c>
      <c r="C10" s="44">
        <f>667.6+3180+2520.45+5690+5690+5690+5690</f>
        <v>29128.05</v>
      </c>
      <c r="D10" s="53">
        <f>C10/C8</f>
        <v>0.1762852984559206</v>
      </c>
      <c r="E10" s="8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25.5" customHeight="1">
      <c r="A11" s="15">
        <f>A10+1</f>
        <v>2</v>
      </c>
      <c r="B11" s="18" t="s">
        <v>97</v>
      </c>
      <c r="C11" s="14">
        <f>365+1999.2+2162.05+1999.2+2337.1+2254+309.6+1999.2+302.2+691.8+1523.9+302.2+1951.4+296.6+2062.96+531+2333.7</f>
        <v>23421.11</v>
      </c>
      <c r="D11" s="53">
        <f>C11/C8</f>
        <v>0.1417464391374962</v>
      </c>
      <c r="E11" s="80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25.5" customHeight="1">
      <c r="A12" s="15">
        <f aca="true" t="shared" si="0" ref="A12:A34">A11+1</f>
        <v>3</v>
      </c>
      <c r="B12" s="40" t="s">
        <v>98</v>
      </c>
      <c r="C12" s="44">
        <f>3000+2805.93+1095+846.95+3800+2069.6+4070.7+1037.4+3750</f>
        <v>22475.58</v>
      </c>
      <c r="D12" s="53">
        <f>C12/C8</f>
        <v>0.13602401562308222</v>
      </c>
      <c r="E12" s="80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customHeight="1">
      <c r="A13" s="15">
        <f t="shared" si="0"/>
        <v>4</v>
      </c>
      <c r="B13" s="28" t="s">
        <v>99</v>
      </c>
      <c r="C13" s="14">
        <f>1313.6+6803.82+350.1+3743.98+3160.5</f>
        <v>15372</v>
      </c>
      <c r="D13" s="53">
        <f>C13/C8</f>
        <v>0.09303257883258274</v>
      </c>
      <c r="E13" s="80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25.5" customHeight="1">
      <c r="A14" s="15">
        <f t="shared" si="0"/>
        <v>5</v>
      </c>
      <c r="B14" s="40" t="s">
        <v>100</v>
      </c>
      <c r="C14" s="14">
        <f>360+390.1+535.4+448.5+1500+1500+2662</f>
        <v>7396</v>
      </c>
      <c r="D14" s="53">
        <f>C14/C8</f>
        <v>0.04476118612059471</v>
      </c>
      <c r="E14" s="80"/>
      <c r="F14" s="70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29.25" customHeight="1">
      <c r="A15" s="15">
        <f t="shared" si="0"/>
        <v>6</v>
      </c>
      <c r="B15" s="28" t="s">
        <v>101</v>
      </c>
      <c r="C15" s="14">
        <f>3180+1962.4+532.8</f>
        <v>5675.2</v>
      </c>
      <c r="D15" s="55">
        <f>C15/C8</f>
        <v>0.03434676628875055</v>
      </c>
      <c r="E15" s="80"/>
      <c r="F15" s="70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25.5" customHeight="1">
      <c r="A16" s="15">
        <f t="shared" si="0"/>
        <v>7</v>
      </c>
      <c r="B16" s="35" t="s">
        <v>102</v>
      </c>
      <c r="C16" s="44">
        <v>5525</v>
      </c>
      <c r="D16" s="53">
        <f>C16/C8</f>
        <v>0.03343774382318629</v>
      </c>
      <c r="E16" s="80"/>
      <c r="F16" s="70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28.5" customHeight="1">
      <c r="A17" s="15">
        <f t="shared" si="0"/>
        <v>8</v>
      </c>
      <c r="B17" s="36" t="s">
        <v>103</v>
      </c>
      <c r="C17" s="14">
        <f>3000+985.6+958</f>
        <v>4943.6</v>
      </c>
      <c r="D17" s="53">
        <f>C17/C8</f>
        <v>0.029919064319330994</v>
      </c>
      <c r="E17" s="80"/>
      <c r="F17" s="70"/>
      <c r="G17" s="77"/>
      <c r="H17" s="77"/>
      <c r="I17" s="77"/>
      <c r="J17" s="77"/>
      <c r="K17" s="77"/>
      <c r="L17" s="77"/>
      <c r="M17" s="77"/>
      <c r="N17" s="77"/>
      <c r="O17" s="79"/>
      <c r="P17" s="77"/>
    </row>
    <row r="18" spans="1:16" ht="25.5" customHeight="1">
      <c r="A18" s="15">
        <f t="shared" si="0"/>
        <v>9</v>
      </c>
      <c r="B18" s="18" t="s">
        <v>104</v>
      </c>
      <c r="C18" s="14">
        <f>3180+917</f>
        <v>4097</v>
      </c>
      <c r="D18" s="53">
        <f>C18/C8</f>
        <v>0.024795373111962754</v>
      </c>
      <c r="E18" s="80"/>
      <c r="F18" s="70"/>
      <c r="G18" s="77"/>
      <c r="H18" s="79"/>
      <c r="I18" s="79"/>
      <c r="J18" s="79"/>
      <c r="K18" s="79"/>
      <c r="L18" s="79"/>
      <c r="M18" s="77"/>
      <c r="N18" s="77"/>
      <c r="O18" s="77"/>
      <c r="P18" s="77"/>
    </row>
    <row r="19" spans="1:6" ht="25.5" customHeight="1">
      <c r="A19" s="15">
        <f t="shared" si="0"/>
        <v>10</v>
      </c>
      <c r="B19" s="28" t="s">
        <v>105</v>
      </c>
      <c r="C19" s="23">
        <f>3000+1085</f>
        <v>4085</v>
      </c>
      <c r="D19" s="53">
        <f>C19/C8</f>
        <v>0.024722748148002894</v>
      </c>
      <c r="E19" s="59"/>
      <c r="F19" s="70"/>
    </row>
    <row r="20" spans="1:6" ht="26.25" customHeight="1">
      <c r="A20" s="15">
        <f t="shared" si="0"/>
        <v>11</v>
      </c>
      <c r="B20" s="37" t="s">
        <v>106</v>
      </c>
      <c r="C20" s="81">
        <v>3180</v>
      </c>
      <c r="D20" s="53">
        <f>C20/C8</f>
        <v>0.01924561544936333</v>
      </c>
      <c r="E20" s="59"/>
      <c r="F20" s="70"/>
    </row>
    <row r="21" spans="1:6" ht="25.5" customHeight="1">
      <c r="A21" s="15">
        <f t="shared" si="0"/>
        <v>12</v>
      </c>
      <c r="B21" s="20" t="s">
        <v>107</v>
      </c>
      <c r="C21" s="14">
        <v>3100</v>
      </c>
      <c r="D21" s="53">
        <f>C21/C8</f>
        <v>0.01876144902296425</v>
      </c>
      <c r="E21" s="59"/>
      <c r="F21" s="70"/>
    </row>
    <row r="22" spans="1:6" ht="31.5" customHeight="1">
      <c r="A22" s="15">
        <f t="shared" si="0"/>
        <v>13</v>
      </c>
      <c r="B22" s="20" t="s">
        <v>108</v>
      </c>
      <c r="C22" s="14">
        <v>3000</v>
      </c>
      <c r="D22" s="53">
        <f>C22/C8</f>
        <v>0.018156240989965405</v>
      </c>
      <c r="E22" s="59"/>
      <c r="F22" s="70"/>
    </row>
    <row r="23" spans="1:6" ht="25.5" customHeight="1">
      <c r="A23" s="15">
        <f t="shared" si="0"/>
        <v>14</v>
      </c>
      <c r="B23" s="37" t="s">
        <v>109</v>
      </c>
      <c r="C23" s="14">
        <v>3000</v>
      </c>
      <c r="D23" s="53">
        <f>C23/C8</f>
        <v>0.018156240989965405</v>
      </c>
      <c r="E23" s="59"/>
      <c r="F23" s="70"/>
    </row>
    <row r="24" spans="1:6" ht="28.5" customHeight="1">
      <c r="A24" s="15">
        <f t="shared" si="0"/>
        <v>15</v>
      </c>
      <c r="B24" s="28" t="s">
        <v>110</v>
      </c>
      <c r="C24" s="14">
        <v>3000</v>
      </c>
      <c r="D24" s="53">
        <f>C24/C8</f>
        <v>0.018156240989965405</v>
      </c>
      <c r="E24" s="59"/>
      <c r="F24" s="70"/>
    </row>
    <row r="25" spans="1:6" ht="29.25" customHeight="1">
      <c r="A25" s="15">
        <f t="shared" si="0"/>
        <v>16</v>
      </c>
      <c r="B25" s="28" t="s">
        <v>111</v>
      </c>
      <c r="C25" s="14">
        <v>3000</v>
      </c>
      <c r="D25" s="53">
        <f>C25/C8</f>
        <v>0.018156240989965405</v>
      </c>
      <c r="E25" s="59"/>
      <c r="F25" s="70"/>
    </row>
    <row r="26" spans="1:6" ht="21" customHeight="1">
      <c r="A26" s="15">
        <f t="shared" si="0"/>
        <v>17</v>
      </c>
      <c r="B26" s="37" t="s">
        <v>112</v>
      </c>
      <c r="C26" s="14">
        <v>3000</v>
      </c>
      <c r="D26" s="53">
        <f>C26/C8</f>
        <v>0.018156240989965405</v>
      </c>
      <c r="E26" s="59"/>
      <c r="F26" s="70"/>
    </row>
    <row r="27" spans="1:6" ht="21" customHeight="1">
      <c r="A27" s="15">
        <f t="shared" si="0"/>
        <v>18</v>
      </c>
      <c r="B27" s="37" t="s">
        <v>113</v>
      </c>
      <c r="C27" s="14">
        <v>3000</v>
      </c>
      <c r="D27" s="53">
        <f>C27/C8</f>
        <v>0.018156240989965405</v>
      </c>
      <c r="E27" s="59"/>
      <c r="F27" s="70"/>
    </row>
    <row r="28" spans="1:6" ht="27.75" customHeight="1">
      <c r="A28" s="15">
        <f t="shared" si="0"/>
        <v>19</v>
      </c>
      <c r="B28" s="45" t="s">
        <v>114</v>
      </c>
      <c r="C28" s="14">
        <v>3000</v>
      </c>
      <c r="D28" s="53">
        <f>C28/C8</f>
        <v>0.018156240989965405</v>
      </c>
      <c r="E28" s="59"/>
      <c r="F28" s="70"/>
    </row>
    <row r="29" spans="1:6" ht="21" customHeight="1">
      <c r="A29" s="15">
        <f t="shared" si="0"/>
        <v>20</v>
      </c>
      <c r="B29" s="28" t="s">
        <v>115</v>
      </c>
      <c r="C29" s="14">
        <v>3000</v>
      </c>
      <c r="D29" s="53">
        <f>C29/C8</f>
        <v>0.018156240989965405</v>
      </c>
      <c r="E29" s="59"/>
      <c r="F29" s="70"/>
    </row>
    <row r="30" spans="1:6" ht="30.75" customHeight="1">
      <c r="A30" s="15">
        <f t="shared" si="0"/>
        <v>21</v>
      </c>
      <c r="B30" s="28" t="s">
        <v>116</v>
      </c>
      <c r="C30" s="14">
        <v>3000</v>
      </c>
      <c r="D30" s="53">
        <f>C30/C8</f>
        <v>0.018156240989965405</v>
      </c>
      <c r="E30" s="59"/>
      <c r="F30" s="70"/>
    </row>
    <row r="31" spans="1:6" ht="28.5" customHeight="1">
      <c r="A31" s="15">
        <f t="shared" si="0"/>
        <v>22</v>
      </c>
      <c r="B31" s="45" t="s">
        <v>117</v>
      </c>
      <c r="C31" s="14">
        <v>3000</v>
      </c>
      <c r="D31" s="53">
        <f>C31/C8</f>
        <v>0.018156240989965405</v>
      </c>
      <c r="E31" s="59"/>
      <c r="F31" s="8"/>
    </row>
    <row r="32" spans="1:5" ht="30.75" customHeight="1">
      <c r="A32" s="15">
        <f t="shared" si="0"/>
        <v>23</v>
      </c>
      <c r="B32" s="28" t="s">
        <v>118</v>
      </c>
      <c r="C32" s="14">
        <v>3000</v>
      </c>
      <c r="D32" s="53">
        <f>C32/C8</f>
        <v>0.018156240989965405</v>
      </c>
      <c r="E32" s="59"/>
    </row>
    <row r="33" spans="1:5" ht="27.75" customHeight="1">
      <c r="A33" s="15">
        <f t="shared" si="0"/>
        <v>24</v>
      </c>
      <c r="B33" s="19" t="s">
        <v>119</v>
      </c>
      <c r="C33" s="14">
        <f>2766.2</f>
        <v>2766.2</v>
      </c>
      <c r="D33" s="53">
        <f>C33/C8</f>
        <v>0.0167412646088141</v>
      </c>
      <c r="E33" s="59"/>
    </row>
    <row r="34" spans="1:5" ht="26.25" customHeight="1">
      <c r="A34" s="15">
        <f t="shared" si="0"/>
        <v>25</v>
      </c>
      <c r="B34" s="18" t="s">
        <v>120</v>
      </c>
      <c r="C34" s="14">
        <v>1067.7</v>
      </c>
      <c r="D34" s="53">
        <f>C34/C8</f>
        <v>0.006461806168328688</v>
      </c>
      <c r="E34" s="59"/>
    </row>
    <row r="35" spans="1:5" ht="33" customHeight="1">
      <c r="A35" s="99" t="s">
        <v>25</v>
      </c>
      <c r="B35" s="99"/>
      <c r="C35" s="62">
        <f>SUM(C37:C63)</f>
        <v>256701.16999999998</v>
      </c>
      <c r="D35" s="63">
        <f>C35/C3</f>
        <v>0.14397086931273</v>
      </c>
      <c r="E35" s="59"/>
    </row>
    <row r="36" spans="1:6" ht="25.5" customHeight="1">
      <c r="A36" s="2" t="s">
        <v>0</v>
      </c>
      <c r="B36" s="2" t="s">
        <v>23</v>
      </c>
      <c r="C36" s="3" t="s">
        <v>24</v>
      </c>
      <c r="D36" s="52" t="s">
        <v>1</v>
      </c>
      <c r="E36" s="7"/>
      <c r="F36" s="8"/>
    </row>
    <row r="37" spans="1:5" ht="27.75" customHeight="1">
      <c r="A37" s="1">
        <v>1</v>
      </c>
      <c r="B37" s="28" t="s">
        <v>121</v>
      </c>
      <c r="C37" s="44">
        <v>76454</v>
      </c>
      <c r="D37" s="53">
        <f>C37/C35</f>
        <v>0.29783269004967916</v>
      </c>
      <c r="E37" s="59"/>
    </row>
    <row r="38" spans="1:5" ht="38.25" customHeight="1">
      <c r="A38" s="1">
        <f>A37+1</f>
        <v>2</v>
      </c>
      <c r="B38" s="40" t="s">
        <v>122</v>
      </c>
      <c r="C38" s="14">
        <f>569.2+1050+1055.03+905+2030.8+686.3+3180+5000+1498.5+1110+1613.4+1268.4+1768.8+652+347+769+600+699.4+178.3+220+193.4+211.95+442.4+254.1+1999.7+547.2+1200+312.55+410.89+393+374.5+959.5+739.91+987.9+1500+500+1406</f>
        <v>37634.13000000001</v>
      </c>
      <c r="D38" s="53">
        <f>C38/C35</f>
        <v>0.1466067723805077</v>
      </c>
      <c r="E38" s="59"/>
    </row>
    <row r="39" spans="1:5" ht="32.25" customHeight="1">
      <c r="A39" s="1">
        <f aca="true" t="shared" si="1" ref="A39:A63">A38+1</f>
        <v>3</v>
      </c>
      <c r="B39" s="45" t="s">
        <v>123</v>
      </c>
      <c r="C39" s="44">
        <f>3966.06+62.6+5713.45+11666.47</f>
        <v>21408.58</v>
      </c>
      <c r="D39" s="53">
        <f>C39/C35</f>
        <v>0.08339884076102966</v>
      </c>
      <c r="E39" s="59"/>
    </row>
    <row r="40" spans="1:5" ht="25.5" customHeight="1">
      <c r="A40" s="1">
        <f t="shared" si="1"/>
        <v>4</v>
      </c>
      <c r="B40" s="45" t="s">
        <v>124</v>
      </c>
      <c r="C40" s="14">
        <v>15000</v>
      </c>
      <c r="D40" s="53">
        <f>C40/C35</f>
        <v>0.05843370328230293</v>
      </c>
      <c r="E40" s="59"/>
    </row>
    <row r="41" spans="1:5" ht="28.5" customHeight="1">
      <c r="A41" s="1">
        <f t="shared" si="1"/>
        <v>5</v>
      </c>
      <c r="B41" s="20" t="s">
        <v>125</v>
      </c>
      <c r="C41" s="14">
        <f>1650.4+1650.4+1650.4+1575.4+1886.8+1641.4+1654.1+1423.6</f>
        <v>13132.5</v>
      </c>
      <c r="D41" s="53">
        <f>C41/C35</f>
        <v>0.05115870722365621</v>
      </c>
      <c r="E41" s="59"/>
    </row>
    <row r="42" spans="1:5" ht="29.25" customHeight="1">
      <c r="A42" s="1">
        <f t="shared" si="1"/>
        <v>6</v>
      </c>
      <c r="B42" s="20" t="s">
        <v>126</v>
      </c>
      <c r="C42" s="14">
        <f>1707+1727+467+457+429+467+467+467+467+467+467+321.3+808+781.5+1715+1667</f>
        <v>12881.8</v>
      </c>
      <c r="D42" s="53">
        <f>C42/C35</f>
        <v>0.050182085262797986</v>
      </c>
      <c r="E42" s="59"/>
    </row>
    <row r="43" spans="1:5" ht="29.25" customHeight="1">
      <c r="A43" s="1">
        <f t="shared" si="1"/>
        <v>7</v>
      </c>
      <c r="B43" s="82" t="s">
        <v>127</v>
      </c>
      <c r="C43" s="14">
        <v>10800</v>
      </c>
      <c r="D43" s="53">
        <f>C43/C35</f>
        <v>0.04207226636325811</v>
      </c>
      <c r="E43" s="59"/>
    </row>
    <row r="44" spans="1:5" ht="33" customHeight="1">
      <c r="A44" s="1">
        <f t="shared" si="1"/>
        <v>8</v>
      </c>
      <c r="B44" s="37" t="s">
        <v>128</v>
      </c>
      <c r="C44" s="14">
        <f>2540+3000+180+2820.72</f>
        <v>8540.72</v>
      </c>
      <c r="D44" s="53">
        <f>C44/C35</f>
        <v>0.03327105988648201</v>
      </c>
      <c r="E44" s="59"/>
    </row>
    <row r="45" spans="1:5" ht="24" customHeight="1">
      <c r="A45" s="1">
        <f t="shared" si="1"/>
        <v>9</v>
      </c>
      <c r="B45" s="37" t="s">
        <v>129</v>
      </c>
      <c r="C45" s="14">
        <f>3180+4000</f>
        <v>7180</v>
      </c>
      <c r="D45" s="53">
        <f>C45/C35</f>
        <v>0.027970265971129</v>
      </c>
      <c r="E45" s="59"/>
    </row>
    <row r="46" spans="1:5" ht="29.25" customHeight="1">
      <c r="A46" s="1">
        <f t="shared" si="1"/>
        <v>10</v>
      </c>
      <c r="B46" s="20" t="s">
        <v>130</v>
      </c>
      <c r="C46" s="14">
        <f>425+425+945+425+415+425+425+425+425+425+425+425+425</f>
        <v>6035</v>
      </c>
      <c r="D46" s="53">
        <f>C46/C35</f>
        <v>0.023509826620579877</v>
      </c>
      <c r="E46" s="59"/>
    </row>
    <row r="47" spans="1:5" ht="25.5" customHeight="1">
      <c r="A47" s="1">
        <f t="shared" si="1"/>
        <v>11</v>
      </c>
      <c r="B47" s="20" t="s">
        <v>131</v>
      </c>
      <c r="C47" s="14">
        <f>483.5+393.8+144.5+913.5+899.3+195.9+349.88+543.2+197.95+1030.6</f>
        <v>5152.129999999999</v>
      </c>
      <c r="D47" s="53">
        <f>C47/C35</f>
        <v>0.020070535712790088</v>
      </c>
      <c r="E47" s="59"/>
    </row>
    <row r="48" spans="1:5" ht="28.5" customHeight="1">
      <c r="A48" s="1">
        <f t="shared" si="1"/>
        <v>12</v>
      </c>
      <c r="B48" s="37" t="s">
        <v>132</v>
      </c>
      <c r="C48" s="44">
        <f>1155+1155+1155+1155</f>
        <v>4620</v>
      </c>
      <c r="D48" s="53">
        <f>C48/C35</f>
        <v>0.0179975806109493</v>
      </c>
      <c r="E48" s="59"/>
    </row>
    <row r="49" spans="1:5" ht="27.75" customHeight="1">
      <c r="A49" s="1">
        <f t="shared" si="1"/>
        <v>13</v>
      </c>
      <c r="B49" s="40" t="s">
        <v>133</v>
      </c>
      <c r="C49" s="44">
        <f>592.6+1026.3+421.9+197.9+407.95+203+701</f>
        <v>3550.65</v>
      </c>
      <c r="D49" s="53">
        <f>C49/C35</f>
        <v>0.013831841903953925</v>
      </c>
      <c r="E49" s="59"/>
    </row>
    <row r="50" spans="1:5" ht="29.25" customHeight="1">
      <c r="A50" s="1">
        <f t="shared" si="1"/>
        <v>14</v>
      </c>
      <c r="B50" s="37" t="s">
        <v>134</v>
      </c>
      <c r="C50" s="14">
        <v>3500</v>
      </c>
      <c r="D50" s="53">
        <f>C50/C35</f>
        <v>0.013634530765870682</v>
      </c>
      <c r="E50" s="59"/>
    </row>
    <row r="51" spans="1:5" ht="20.25" customHeight="1">
      <c r="A51" s="1">
        <f t="shared" si="1"/>
        <v>15</v>
      </c>
      <c r="B51" s="69" t="s">
        <v>51</v>
      </c>
      <c r="C51" s="14">
        <v>3480</v>
      </c>
      <c r="D51" s="53">
        <f>C51/C35</f>
        <v>0.013556619161494279</v>
      </c>
      <c r="E51" s="59"/>
    </row>
    <row r="52" spans="1:5" ht="27.75" customHeight="1">
      <c r="A52" s="1">
        <f t="shared" si="1"/>
        <v>16</v>
      </c>
      <c r="B52" s="39" t="s">
        <v>135</v>
      </c>
      <c r="C52" s="44">
        <f>375.3+375.3+393.9+393.9+393.9+393.9+393.9+393.9</f>
        <v>3114.0000000000005</v>
      </c>
      <c r="D52" s="53">
        <f>C52/C35</f>
        <v>0.012130836801406088</v>
      </c>
      <c r="E52" s="59"/>
    </row>
    <row r="53" spans="1:5" ht="48" customHeight="1">
      <c r="A53" s="1">
        <f t="shared" si="1"/>
        <v>17</v>
      </c>
      <c r="B53" s="75" t="s">
        <v>136</v>
      </c>
      <c r="C53" s="14">
        <v>3070</v>
      </c>
      <c r="D53" s="53">
        <f>C53/C35</f>
        <v>0.011959431271777999</v>
      </c>
      <c r="E53" s="59"/>
    </row>
    <row r="54" spans="1:5" ht="27.75" customHeight="1">
      <c r="A54" s="1">
        <f t="shared" si="1"/>
        <v>18</v>
      </c>
      <c r="B54" s="45" t="s">
        <v>137</v>
      </c>
      <c r="C54" s="14">
        <v>3000</v>
      </c>
      <c r="D54" s="53">
        <f>C54/C35</f>
        <v>0.011686740656460585</v>
      </c>
      <c r="E54" s="59"/>
    </row>
    <row r="55" spans="1:5" ht="33" customHeight="1">
      <c r="A55" s="1">
        <f t="shared" si="1"/>
        <v>19</v>
      </c>
      <c r="B55" s="20" t="s">
        <v>138</v>
      </c>
      <c r="C55" s="14">
        <v>3000</v>
      </c>
      <c r="D55" s="53">
        <f>C55/C35</f>
        <v>0.011686740656460585</v>
      </c>
      <c r="E55" s="59"/>
    </row>
    <row r="56" spans="1:5" ht="30.75" customHeight="1">
      <c r="A56" s="1">
        <f t="shared" si="1"/>
        <v>20</v>
      </c>
      <c r="B56" s="20" t="s">
        <v>139</v>
      </c>
      <c r="C56" s="9">
        <v>3000</v>
      </c>
      <c r="D56" s="53">
        <f>C56/C35</f>
        <v>0.011686740656460585</v>
      </c>
      <c r="E56" s="59"/>
    </row>
    <row r="57" spans="1:5" ht="35.25" customHeight="1">
      <c r="A57" s="1">
        <f t="shared" si="1"/>
        <v>21</v>
      </c>
      <c r="B57" s="83" t="s">
        <v>140</v>
      </c>
      <c r="C57" s="44">
        <f>296.3+337.2+1500+298</f>
        <v>2431.5</v>
      </c>
      <c r="D57" s="53">
        <f>C57/C35</f>
        <v>0.009472103302061304</v>
      </c>
      <c r="E57" s="59"/>
    </row>
    <row r="58" spans="1:5" ht="29.25" customHeight="1">
      <c r="A58" s="1">
        <f t="shared" si="1"/>
        <v>22</v>
      </c>
      <c r="B58" s="35" t="s">
        <v>141</v>
      </c>
      <c r="C58" s="44">
        <f>2093.3+336</f>
        <v>2429.3</v>
      </c>
      <c r="D58" s="53">
        <f>C58/C35</f>
        <v>0.0094635330255799</v>
      </c>
      <c r="E58" s="59"/>
    </row>
    <row r="59" spans="1:5" ht="43.5" customHeight="1">
      <c r="A59" s="1">
        <f t="shared" si="1"/>
        <v>23</v>
      </c>
      <c r="B59" s="20" t="s">
        <v>142</v>
      </c>
      <c r="C59" s="14">
        <f>318+647.8+1130</f>
        <v>2095.8</v>
      </c>
      <c r="D59" s="53">
        <f>C59/C35</f>
        <v>0.008164357022603366</v>
      </c>
      <c r="E59" s="59"/>
    </row>
    <row r="60" spans="1:5" ht="30" customHeight="1">
      <c r="A60" s="1">
        <f t="shared" si="1"/>
        <v>24</v>
      </c>
      <c r="B60" s="71" t="s">
        <v>143</v>
      </c>
      <c r="C60" s="44">
        <f>1081.2+440.2</f>
        <v>1521.4</v>
      </c>
      <c r="D60" s="53">
        <f>C60/C35</f>
        <v>0.005926735744913045</v>
      </c>
      <c r="E60" s="59"/>
    </row>
    <row r="61" spans="1:5" ht="27.75" customHeight="1">
      <c r="A61" s="1">
        <f t="shared" si="1"/>
        <v>25</v>
      </c>
      <c r="B61" s="28" t="s">
        <v>146</v>
      </c>
      <c r="C61" s="9">
        <v>1500</v>
      </c>
      <c r="D61" s="53">
        <f>C61/C35</f>
        <v>0.005843370328230292</v>
      </c>
      <c r="E61" s="59"/>
    </row>
    <row r="62" spans="1:5" ht="29.25" customHeight="1">
      <c r="A62" s="1">
        <f t="shared" si="1"/>
        <v>26</v>
      </c>
      <c r="B62" s="28" t="s">
        <v>144</v>
      </c>
      <c r="C62" s="44">
        <v>1297.56</v>
      </c>
      <c r="D62" s="53">
        <f>C62/C35</f>
        <v>0.005054749068732332</v>
      </c>
      <c r="E62" s="59"/>
    </row>
    <row r="63" spans="1:5" ht="34.5" customHeight="1">
      <c r="A63" s="1">
        <f t="shared" si="1"/>
        <v>27</v>
      </c>
      <c r="B63" s="37" t="s">
        <v>145</v>
      </c>
      <c r="C63" s="9">
        <v>872.1</v>
      </c>
      <c r="D63" s="53">
        <f>C63/C35</f>
        <v>0.003397335508833092</v>
      </c>
      <c r="E63" s="59"/>
    </row>
    <row r="64" spans="1:5" ht="42" customHeight="1">
      <c r="A64" s="99" t="s">
        <v>33</v>
      </c>
      <c r="B64" s="99"/>
      <c r="C64" s="62">
        <f>SUM(C66:C114)</f>
        <v>362069.10999999987</v>
      </c>
      <c r="D64" s="63">
        <f>C64/C3</f>
        <v>0.2030664858987065</v>
      </c>
      <c r="E64" s="59"/>
    </row>
    <row r="65" spans="1:5" ht="42" customHeight="1">
      <c r="A65" s="2" t="s">
        <v>0</v>
      </c>
      <c r="B65" s="2" t="s">
        <v>23</v>
      </c>
      <c r="C65" s="3" t="s">
        <v>24</v>
      </c>
      <c r="D65" s="52" t="s">
        <v>1</v>
      </c>
      <c r="E65" s="59"/>
    </row>
    <row r="66" spans="1:5" ht="42" customHeight="1">
      <c r="A66" s="1">
        <v>1</v>
      </c>
      <c r="B66" s="35" t="s">
        <v>147</v>
      </c>
      <c r="C66" s="14">
        <f>2900+2565.3+458.5+7789.6+26132.2+7405.75+1892.2+6327.8+1698.35+5450.8+7128.69+907.9+2128.1+2476.9+4146.2+694.86+5057.25+3037.85+1842.4</f>
        <v>90040.65</v>
      </c>
      <c r="D66" s="53">
        <f>C66/C64</f>
        <v>0.2486836007634013</v>
      </c>
      <c r="E66" s="59"/>
    </row>
    <row r="67" spans="1:5" ht="42" customHeight="1">
      <c r="A67" s="1">
        <f>A66+1</f>
        <v>2</v>
      </c>
      <c r="B67" s="19" t="s">
        <v>148</v>
      </c>
      <c r="C67" s="44">
        <f>1110.88+1102.6+962.6+896.53+10000.72+7198.69+6196.86+5831.4+2266.58+3994.46+7442.17</f>
        <v>47003.49</v>
      </c>
      <c r="D67" s="53">
        <f>C67/C64</f>
        <v>0.12981911105313573</v>
      </c>
      <c r="E67" s="59"/>
    </row>
    <row r="68" spans="1:5" ht="42" customHeight="1">
      <c r="A68" s="1">
        <f aca="true" t="shared" si="2" ref="A68:A114">A67+1</f>
        <v>3</v>
      </c>
      <c r="B68" s="45" t="s">
        <v>149</v>
      </c>
      <c r="C68" s="44">
        <v>36530</v>
      </c>
      <c r="D68" s="53">
        <f>C68/C64</f>
        <v>0.10089234069153266</v>
      </c>
      <c r="E68" s="59"/>
    </row>
    <row r="69" spans="1:5" ht="42" customHeight="1">
      <c r="A69" s="1">
        <f t="shared" si="2"/>
        <v>4</v>
      </c>
      <c r="B69" s="37" t="s">
        <v>150</v>
      </c>
      <c r="C69" s="14">
        <f>511.3+1474+833.6+675.5+2139.2+1117+1927.6+1090.7+341+2950.5+1104.1+4538.5+1663.9</f>
        <v>20366.9</v>
      </c>
      <c r="D69" s="53">
        <f>C69/C64</f>
        <v>0.05625141564824464</v>
      </c>
      <c r="E69" s="59"/>
    </row>
    <row r="70" spans="1:5" ht="42" customHeight="1">
      <c r="A70" s="1">
        <f t="shared" si="2"/>
        <v>5</v>
      </c>
      <c r="B70" s="45" t="s">
        <v>151</v>
      </c>
      <c r="C70" s="44">
        <v>19500</v>
      </c>
      <c r="D70" s="53">
        <f>C70/C64</f>
        <v>0.053857121365586826</v>
      </c>
      <c r="E70" s="59"/>
    </row>
    <row r="71" spans="1:5" ht="42" customHeight="1">
      <c r="A71" s="1">
        <f t="shared" si="2"/>
        <v>6</v>
      </c>
      <c r="B71" s="37" t="s">
        <v>152</v>
      </c>
      <c r="C71" s="14">
        <f>1290.5+1738+322.3+2381.6+221.4+1900+1841.8+1654.5+242.15</f>
        <v>11592.249999999998</v>
      </c>
      <c r="D71" s="53">
        <f>C71/C64</f>
        <v>0.03201667770001148</v>
      </c>
      <c r="E71" s="59"/>
    </row>
    <row r="72" spans="1:5" ht="42" customHeight="1">
      <c r="A72" s="1">
        <f t="shared" si="2"/>
        <v>7</v>
      </c>
      <c r="B72" s="39" t="s">
        <v>153</v>
      </c>
      <c r="C72" s="14">
        <f>1500+255.7+888+955.99+158.7+440.5+954.6+885.5+78.5+963+112.4+1293.5+707.4+951.7+113.1+139.6+951.7+87.3</f>
        <v>11437.19</v>
      </c>
      <c r="D72" s="53">
        <f>C72/C64</f>
        <v>0.03158841691852698</v>
      </c>
      <c r="E72" s="59"/>
    </row>
    <row r="73" spans="1:5" ht="42" customHeight="1">
      <c r="A73" s="1">
        <f t="shared" si="2"/>
        <v>8</v>
      </c>
      <c r="B73" s="20" t="s">
        <v>154</v>
      </c>
      <c r="C73" s="9">
        <f>5418.8+996.1</f>
        <v>6414.900000000001</v>
      </c>
      <c r="D73" s="53">
        <f>C73/C64</f>
        <v>0.017717335787082202</v>
      </c>
      <c r="E73" s="59"/>
    </row>
    <row r="74" spans="1:5" ht="42" customHeight="1">
      <c r="A74" s="1">
        <f t="shared" si="2"/>
        <v>9</v>
      </c>
      <c r="B74" s="37" t="s">
        <v>155</v>
      </c>
      <c r="C74" s="44">
        <f>3000+1969+1326.2</f>
        <v>6295.2</v>
      </c>
      <c r="D74" s="53">
        <f>C74/C64</f>
        <v>0.01738673591900729</v>
      </c>
      <c r="E74" s="59"/>
    </row>
    <row r="75" spans="1:5" ht="42" customHeight="1">
      <c r="A75" s="1">
        <f t="shared" si="2"/>
        <v>10</v>
      </c>
      <c r="B75" s="45" t="s">
        <v>156</v>
      </c>
      <c r="C75" s="44">
        <v>5605</v>
      </c>
      <c r="D75" s="53">
        <f>C75/C64</f>
        <v>0.015480470013031496</v>
      </c>
      <c r="E75" s="59"/>
    </row>
    <row r="76" spans="1:5" ht="42" customHeight="1">
      <c r="A76" s="1">
        <f t="shared" si="2"/>
        <v>11</v>
      </c>
      <c r="B76" s="20" t="s">
        <v>157</v>
      </c>
      <c r="C76" s="14">
        <f>500+3180+500+960</f>
        <v>5140</v>
      </c>
      <c r="D76" s="53">
        <f>C76/C64</f>
        <v>0.014196184811236733</v>
      </c>
      <c r="E76" s="59"/>
    </row>
    <row r="77" spans="1:5" ht="42" customHeight="1">
      <c r="A77" s="1">
        <f t="shared" si="2"/>
        <v>12</v>
      </c>
      <c r="B77" s="40" t="s">
        <v>158</v>
      </c>
      <c r="C77" s="14">
        <f>375.3+2001.1+575.7+1665.12+257.1</f>
        <v>4874.320000000001</v>
      </c>
      <c r="D77" s="53">
        <f>C77/C64</f>
        <v>0.013462402246908062</v>
      </c>
      <c r="E77" s="59"/>
    </row>
    <row r="78" spans="1:5" ht="42" customHeight="1">
      <c r="A78" s="1">
        <f t="shared" si="2"/>
        <v>13</v>
      </c>
      <c r="B78" s="40" t="s">
        <v>159</v>
      </c>
      <c r="C78" s="14">
        <f>3000+995.6+777</f>
        <v>4772.6</v>
      </c>
      <c r="D78" s="53">
        <f>C78/C64</f>
        <v>0.013181461406635883</v>
      </c>
      <c r="E78" s="59"/>
    </row>
    <row r="79" spans="1:5" ht="42" customHeight="1">
      <c r="A79" s="1">
        <f t="shared" si="2"/>
        <v>14</v>
      </c>
      <c r="B79" s="28" t="s">
        <v>160</v>
      </c>
      <c r="C79" s="44">
        <f>2512.02+1741.8+369.72</f>
        <v>4623.54</v>
      </c>
      <c r="D79" s="53">
        <f>C79/C64</f>
        <v>0.012769772047110016</v>
      </c>
      <c r="E79" s="59"/>
    </row>
    <row r="80" spans="1:5" ht="28.5" customHeight="1">
      <c r="A80" s="1">
        <f t="shared" si="2"/>
        <v>15</v>
      </c>
      <c r="B80" s="20" t="s">
        <v>161</v>
      </c>
      <c r="C80" s="14">
        <f>3000+1620.5</f>
        <v>4620.5</v>
      </c>
      <c r="D80" s="53">
        <f>C80/C64</f>
        <v>0.012761375859984304</v>
      </c>
      <c r="E80" s="59"/>
    </row>
    <row r="81" spans="1:5" ht="28.5" customHeight="1">
      <c r="A81" s="1">
        <f t="shared" si="2"/>
        <v>16</v>
      </c>
      <c r="B81" s="28" t="s">
        <v>162</v>
      </c>
      <c r="C81" s="44">
        <f>2585.9+1130.2+836</f>
        <v>4552.1</v>
      </c>
      <c r="D81" s="53">
        <f>C81/C64</f>
        <v>0.012572461649655786</v>
      </c>
      <c r="E81" s="59"/>
    </row>
    <row r="82" spans="1:5" ht="40.5" customHeight="1">
      <c r="A82" s="1">
        <f t="shared" si="2"/>
        <v>17</v>
      </c>
      <c r="B82" s="40" t="s">
        <v>163</v>
      </c>
      <c r="C82" s="44">
        <f>1969+245.8+1939.5</f>
        <v>4154.3</v>
      </c>
      <c r="D82" s="53">
        <f>C82/C64</f>
        <v>0.011473776373797814</v>
      </c>
      <c r="E82" s="59"/>
    </row>
    <row r="83" spans="1:5" ht="28.5" customHeight="1">
      <c r="A83" s="1">
        <f t="shared" si="2"/>
        <v>18</v>
      </c>
      <c r="B83" s="37" t="s">
        <v>164</v>
      </c>
      <c r="C83" s="44">
        <f>3293.8+187.4+155.8</f>
        <v>3637.0000000000005</v>
      </c>
      <c r="D83" s="53">
        <f>C83/C64</f>
        <v>0.010045043610596887</v>
      </c>
      <c r="E83" s="59"/>
    </row>
    <row r="84" spans="1:5" ht="38.25" customHeight="1">
      <c r="A84" s="1">
        <f t="shared" si="2"/>
        <v>19</v>
      </c>
      <c r="B84" s="36" t="s">
        <v>165</v>
      </c>
      <c r="C84" s="44">
        <f>1118.3+2500</f>
        <v>3618.3</v>
      </c>
      <c r="D84" s="53">
        <f>C84/C64</f>
        <v>0.009993396012159119</v>
      </c>
      <c r="E84" s="59"/>
    </row>
    <row r="85" spans="1:5" ht="41.25" customHeight="1">
      <c r="A85" s="1">
        <f t="shared" si="2"/>
        <v>20</v>
      </c>
      <c r="B85" s="40" t="s">
        <v>166</v>
      </c>
      <c r="C85" s="44">
        <f>727.7+1277.8+420.3+212.7+578.6+282.9</f>
        <v>3500</v>
      </c>
      <c r="D85" s="53">
        <f>C85/C64</f>
        <v>0.009666662809207891</v>
      </c>
      <c r="E85" s="59"/>
    </row>
    <row r="86" spans="1:5" ht="33.75" customHeight="1">
      <c r="A86" s="1">
        <f t="shared" si="2"/>
        <v>21</v>
      </c>
      <c r="B86" s="28" t="s">
        <v>167</v>
      </c>
      <c r="C86" s="14">
        <v>3180</v>
      </c>
      <c r="D86" s="53">
        <f>C86/C64</f>
        <v>0.008782853638080313</v>
      </c>
      <c r="E86" s="59"/>
    </row>
    <row r="87" spans="1:5" ht="31.5" customHeight="1">
      <c r="A87" s="1">
        <f t="shared" si="2"/>
        <v>22</v>
      </c>
      <c r="B87" s="20" t="s">
        <v>168</v>
      </c>
      <c r="C87" s="44">
        <v>3120.9</v>
      </c>
      <c r="D87" s="53">
        <f>C87/C64</f>
        <v>0.008619625131787689</v>
      </c>
      <c r="E87" s="59"/>
    </row>
    <row r="88" spans="1:5" ht="36" customHeight="1">
      <c r="A88" s="1">
        <f t="shared" si="2"/>
        <v>23</v>
      </c>
      <c r="B88" s="20" t="s">
        <v>169</v>
      </c>
      <c r="C88" s="14">
        <v>3000</v>
      </c>
      <c r="D88" s="53">
        <f>C88/C64</f>
        <v>0.00828571097932105</v>
      </c>
      <c r="E88" s="59"/>
    </row>
    <row r="89" spans="1:5" ht="31.5" customHeight="1">
      <c r="A89" s="1">
        <f t="shared" si="2"/>
        <v>24</v>
      </c>
      <c r="B89" s="28" t="s">
        <v>170</v>
      </c>
      <c r="C89" s="14">
        <v>3000</v>
      </c>
      <c r="D89" s="53">
        <f>C89/C64</f>
        <v>0.00828571097932105</v>
      </c>
      <c r="E89" s="59"/>
    </row>
    <row r="90" spans="1:5" ht="30" customHeight="1">
      <c r="A90" s="1">
        <f t="shared" si="2"/>
        <v>25</v>
      </c>
      <c r="B90" s="35" t="s">
        <v>171</v>
      </c>
      <c r="C90" s="14">
        <v>3000</v>
      </c>
      <c r="D90" s="53">
        <f>C90/C64</f>
        <v>0.00828571097932105</v>
      </c>
      <c r="E90" s="59"/>
    </row>
    <row r="91" spans="1:5" ht="32.25" customHeight="1">
      <c r="A91" s="1">
        <f t="shared" si="2"/>
        <v>26</v>
      </c>
      <c r="B91" s="40" t="s">
        <v>172</v>
      </c>
      <c r="C91" s="14">
        <v>3000</v>
      </c>
      <c r="D91" s="53">
        <f>C91/C64</f>
        <v>0.00828571097932105</v>
      </c>
      <c r="E91" s="59"/>
    </row>
    <row r="92" spans="1:5" ht="27.75" customHeight="1">
      <c r="A92" s="1">
        <f t="shared" si="2"/>
        <v>27</v>
      </c>
      <c r="B92" s="40" t="s">
        <v>173</v>
      </c>
      <c r="C92" s="9">
        <v>3000</v>
      </c>
      <c r="D92" s="53">
        <f>C92/C64</f>
        <v>0.00828571097932105</v>
      </c>
      <c r="E92" s="59"/>
    </row>
    <row r="93" spans="1:5" ht="27.75" customHeight="1">
      <c r="A93" s="1">
        <f t="shared" si="2"/>
        <v>28</v>
      </c>
      <c r="B93" s="28" t="s">
        <v>174</v>
      </c>
      <c r="C93" s="9">
        <v>3000</v>
      </c>
      <c r="D93" s="53">
        <f>C93/C64</f>
        <v>0.00828571097932105</v>
      </c>
      <c r="E93" s="59"/>
    </row>
    <row r="94" spans="1:5" ht="28.5" customHeight="1">
      <c r="A94" s="1">
        <f t="shared" si="2"/>
        <v>29</v>
      </c>
      <c r="B94" s="37" t="s">
        <v>175</v>
      </c>
      <c r="C94" s="14">
        <v>3000</v>
      </c>
      <c r="D94" s="53">
        <f>C94/C64</f>
        <v>0.00828571097932105</v>
      </c>
      <c r="E94" s="59"/>
    </row>
    <row r="95" spans="1:5" ht="27.75" customHeight="1">
      <c r="A95" s="1">
        <f t="shared" si="2"/>
        <v>30</v>
      </c>
      <c r="B95" s="35" t="s">
        <v>176</v>
      </c>
      <c r="C95" s="44">
        <v>3000</v>
      </c>
      <c r="D95" s="53">
        <f>C95/C64</f>
        <v>0.00828571097932105</v>
      </c>
      <c r="E95" s="59"/>
    </row>
    <row r="96" spans="1:5" ht="28.5" customHeight="1">
      <c r="A96" s="1">
        <f t="shared" si="2"/>
        <v>31</v>
      </c>
      <c r="B96" s="20" t="s">
        <v>177</v>
      </c>
      <c r="C96" s="44">
        <v>3000</v>
      </c>
      <c r="D96" s="53">
        <f>C96/C64</f>
        <v>0.00828571097932105</v>
      </c>
      <c r="E96" s="59"/>
    </row>
    <row r="97" spans="1:5" ht="27.75" customHeight="1">
      <c r="A97" s="1">
        <f t="shared" si="2"/>
        <v>32</v>
      </c>
      <c r="B97" s="28" t="s">
        <v>178</v>
      </c>
      <c r="C97" s="44">
        <v>3000</v>
      </c>
      <c r="D97" s="53">
        <f>C97/C64</f>
        <v>0.00828571097932105</v>
      </c>
      <c r="E97" s="59"/>
    </row>
    <row r="98" spans="1:5" ht="41.25" customHeight="1">
      <c r="A98" s="1">
        <f t="shared" si="2"/>
        <v>33</v>
      </c>
      <c r="B98" s="35" t="s">
        <v>179</v>
      </c>
      <c r="C98" s="44">
        <v>3000</v>
      </c>
      <c r="D98" s="53">
        <f>C98/C64</f>
        <v>0.00828571097932105</v>
      </c>
      <c r="E98" s="59"/>
    </row>
    <row r="99" spans="1:5" ht="24.75" customHeight="1">
      <c r="A99" s="1">
        <f t="shared" si="2"/>
        <v>34</v>
      </c>
      <c r="B99" s="20" t="s">
        <v>180</v>
      </c>
      <c r="C99" s="14">
        <v>3000</v>
      </c>
      <c r="D99" s="53">
        <f>C99/C64</f>
        <v>0.00828571097932105</v>
      </c>
      <c r="E99" s="59"/>
    </row>
    <row r="100" spans="1:5" ht="33" customHeight="1">
      <c r="A100" s="1">
        <f t="shared" si="2"/>
        <v>35</v>
      </c>
      <c r="B100" s="20" t="s">
        <v>181</v>
      </c>
      <c r="C100" s="44">
        <f>799+2019.1</f>
        <v>2818.1</v>
      </c>
      <c r="D100" s="53">
        <f>C100/C64</f>
        <v>0.007783320703608217</v>
      </c>
      <c r="E100" s="59"/>
    </row>
    <row r="101" spans="1:5" ht="33" customHeight="1">
      <c r="A101" s="1">
        <f t="shared" si="2"/>
        <v>36</v>
      </c>
      <c r="B101" s="35" t="s">
        <v>182</v>
      </c>
      <c r="C101" s="44">
        <v>2639.9</v>
      </c>
      <c r="D101" s="53">
        <f>C101/C64</f>
        <v>0.007291149471436547</v>
      </c>
      <c r="E101" s="59"/>
    </row>
    <row r="102" spans="1:5" ht="33" customHeight="1">
      <c r="A102" s="1">
        <f t="shared" si="2"/>
        <v>37</v>
      </c>
      <c r="B102" s="20" t="s">
        <v>183</v>
      </c>
      <c r="C102" s="14">
        <f>2173.5</f>
        <v>2173.5</v>
      </c>
      <c r="D102" s="53">
        <f>C102/C64</f>
        <v>0.006002997604518101</v>
      </c>
      <c r="E102" s="59"/>
    </row>
    <row r="103" spans="1:5" ht="33" customHeight="1">
      <c r="A103" s="1">
        <f t="shared" si="2"/>
        <v>38</v>
      </c>
      <c r="B103" s="36" t="s">
        <v>184</v>
      </c>
      <c r="C103" s="44">
        <v>2079.05</v>
      </c>
      <c r="D103" s="53">
        <f>C103/C64</f>
        <v>0.005742135803852477</v>
      </c>
      <c r="E103" s="59"/>
    </row>
    <row r="104" spans="1:5" ht="33" customHeight="1">
      <c r="A104" s="1">
        <f t="shared" si="2"/>
        <v>39</v>
      </c>
      <c r="B104" s="28" t="s">
        <v>185</v>
      </c>
      <c r="C104" s="44">
        <f>550+1360</f>
        <v>1910</v>
      </c>
      <c r="D104" s="53">
        <f>C104/C64</f>
        <v>0.005275235990167736</v>
      </c>
      <c r="E104" s="59"/>
    </row>
    <row r="105" spans="1:5" ht="44.25" customHeight="1">
      <c r="A105" s="1">
        <f t="shared" si="2"/>
        <v>40</v>
      </c>
      <c r="B105" s="40" t="s">
        <v>186</v>
      </c>
      <c r="C105" s="14">
        <v>1900</v>
      </c>
      <c r="D105" s="53">
        <f>C105/C64</f>
        <v>0.005247616953569998</v>
      </c>
      <c r="E105" s="59"/>
    </row>
    <row r="106" spans="1:5" ht="33" customHeight="1">
      <c r="A106" s="1">
        <f t="shared" si="2"/>
        <v>41</v>
      </c>
      <c r="B106" s="37" t="s">
        <v>187</v>
      </c>
      <c r="C106" s="44">
        <f>1016.5+664.2</f>
        <v>1680.7</v>
      </c>
      <c r="D106" s="53">
        <f>C106/C64</f>
        <v>0.00464193148098163</v>
      </c>
      <c r="E106" s="59"/>
    </row>
    <row r="107" spans="1:5" ht="45" customHeight="1">
      <c r="A107" s="1">
        <f t="shared" si="2"/>
        <v>42</v>
      </c>
      <c r="B107" s="20" t="s">
        <v>188</v>
      </c>
      <c r="C107" s="44">
        <v>1500</v>
      </c>
      <c r="D107" s="53">
        <f>C107/C64</f>
        <v>0.004142855489660525</v>
      </c>
      <c r="E107" s="59"/>
    </row>
    <row r="108" spans="1:5" ht="27.75" customHeight="1">
      <c r="A108" s="1">
        <f t="shared" si="2"/>
        <v>43</v>
      </c>
      <c r="B108" s="28" t="s">
        <v>189</v>
      </c>
      <c r="C108" s="44">
        <f>206.2+418.9+610</f>
        <v>1235.1</v>
      </c>
      <c r="D108" s="53">
        <f>C108/C64</f>
        <v>0.003411227210186476</v>
      </c>
      <c r="E108" s="59"/>
    </row>
    <row r="109" spans="1:5" ht="33" customHeight="1">
      <c r="A109" s="1">
        <f t="shared" si="2"/>
        <v>44</v>
      </c>
      <c r="B109" s="45" t="s">
        <v>190</v>
      </c>
      <c r="C109" s="44">
        <f>194+496.59+398.02</f>
        <v>1088.61</v>
      </c>
      <c r="D109" s="53">
        <f>C109/C64</f>
        <v>0.0030066359430662294</v>
      </c>
      <c r="E109" s="59"/>
    </row>
    <row r="110" spans="1:5" ht="30.75" customHeight="1">
      <c r="A110" s="1">
        <f t="shared" si="2"/>
        <v>45</v>
      </c>
      <c r="B110" s="20" t="s">
        <v>191</v>
      </c>
      <c r="C110" s="44">
        <f>387.4+303.38</f>
        <v>690.78</v>
      </c>
      <c r="D110" s="53">
        <f>C110/C64</f>
        <v>0.001907867810098465</v>
      </c>
      <c r="E110" s="59"/>
    </row>
    <row r="111" spans="1:5" ht="30.75" customHeight="1">
      <c r="A111" s="1">
        <f t="shared" si="2"/>
        <v>46</v>
      </c>
      <c r="B111" s="68" t="s">
        <v>192</v>
      </c>
      <c r="C111" s="14">
        <f>282.8+253</f>
        <v>535.8</v>
      </c>
      <c r="D111" s="53">
        <f>C111/C64</f>
        <v>0.0014798279809067395</v>
      </c>
      <c r="E111" s="59"/>
    </row>
    <row r="112" spans="1:5" ht="42" customHeight="1">
      <c r="A112" s="1">
        <f t="shared" si="2"/>
        <v>47</v>
      </c>
      <c r="B112" s="19" t="s">
        <v>193</v>
      </c>
      <c r="C112" s="44">
        <f>123.6+368.9</f>
        <v>492.5</v>
      </c>
      <c r="D112" s="53">
        <f>C112/C64</f>
        <v>0.0013602375524385392</v>
      </c>
      <c r="E112" s="59"/>
    </row>
    <row r="113" spans="1:5" ht="43.5" customHeight="1">
      <c r="A113" s="1">
        <f t="shared" si="2"/>
        <v>48</v>
      </c>
      <c r="B113" s="19" t="s">
        <v>194</v>
      </c>
      <c r="C113" s="44">
        <v>378.73</v>
      </c>
      <c r="D113" s="53">
        <f>C113/C64</f>
        <v>0.0010460157730660872</v>
      </c>
      <c r="E113" s="59"/>
    </row>
    <row r="114" spans="1:5" ht="32.25" customHeight="1">
      <c r="A114" s="1">
        <f t="shared" si="2"/>
        <v>49</v>
      </c>
      <c r="B114" s="40" t="s">
        <v>195</v>
      </c>
      <c r="C114" s="44">
        <v>367.2</v>
      </c>
      <c r="D114" s="53">
        <f>C114/C64</f>
        <v>0.0010141710238688966</v>
      </c>
      <c r="E114" s="59"/>
    </row>
    <row r="115" spans="1:5" ht="35.25" customHeight="1">
      <c r="A115" s="90" t="s">
        <v>91</v>
      </c>
      <c r="B115" s="91"/>
      <c r="C115" s="64">
        <f>SUM(C117:C121)</f>
        <v>348954.36</v>
      </c>
      <c r="D115" s="65">
        <f>C115/C3</f>
        <v>0.19571107743555413</v>
      </c>
      <c r="E115" s="59"/>
    </row>
    <row r="116" spans="1:5" ht="25.5" customHeight="1">
      <c r="A116" s="2" t="s">
        <v>0</v>
      </c>
      <c r="B116" s="2" t="s">
        <v>23</v>
      </c>
      <c r="C116" s="3" t="s">
        <v>24</v>
      </c>
      <c r="D116" s="52" t="s">
        <v>1</v>
      </c>
      <c r="E116" s="59"/>
    </row>
    <row r="117" spans="1:5" ht="93.75" customHeight="1">
      <c r="A117" s="6">
        <v>1</v>
      </c>
      <c r="B117" s="20" t="s">
        <v>90</v>
      </c>
      <c r="C117" s="44">
        <v>240921</v>
      </c>
      <c r="D117" s="53">
        <f>C117/C115</f>
        <v>0.6904083387867685</v>
      </c>
      <c r="E117" s="59"/>
    </row>
    <row r="118" spans="1:5" ht="54" customHeight="1">
      <c r="A118" s="21">
        <f>A117+1</f>
        <v>2</v>
      </c>
      <c r="B118" s="19" t="s">
        <v>76</v>
      </c>
      <c r="C118" s="44">
        <f>57784+40000</f>
        <v>97784</v>
      </c>
      <c r="D118" s="53">
        <f>C118/C115</f>
        <v>0.28022002648140004</v>
      </c>
      <c r="E118" s="59"/>
    </row>
    <row r="119" spans="1:5" ht="42" customHeight="1">
      <c r="A119" s="21">
        <f>A118+1</f>
        <v>3</v>
      </c>
      <c r="B119" s="35" t="s">
        <v>78</v>
      </c>
      <c r="C119" s="44">
        <f>5243+2000</f>
        <v>7243</v>
      </c>
      <c r="D119" s="53">
        <f>C119/C115</f>
        <v>0.02075629603825555</v>
      </c>
      <c r="E119" s="59"/>
    </row>
    <row r="120" spans="1:5" ht="48" customHeight="1">
      <c r="A120" s="21">
        <f>A119+1</f>
        <v>4</v>
      </c>
      <c r="B120" s="41" t="s">
        <v>74</v>
      </c>
      <c r="C120" s="16">
        <f>1100+1346.86</f>
        <v>2446.8599999999997</v>
      </c>
      <c r="D120" s="53">
        <f>C120/C115</f>
        <v>0.007011977153688522</v>
      </c>
      <c r="E120" s="59"/>
    </row>
    <row r="121" spans="1:5" ht="37.5" customHeight="1">
      <c r="A121" s="21">
        <f>A120+1</f>
        <v>5</v>
      </c>
      <c r="B121" s="72" t="s">
        <v>75</v>
      </c>
      <c r="C121" s="44">
        <v>559.5</v>
      </c>
      <c r="D121" s="53">
        <f>C121/C115</f>
        <v>0.0016033615398873366</v>
      </c>
      <c r="E121" s="59"/>
    </row>
    <row r="122" spans="1:5" ht="22.5" customHeight="1">
      <c r="A122" s="97" t="s">
        <v>26</v>
      </c>
      <c r="B122" s="98"/>
      <c r="C122" s="66">
        <f>SUM(C124:C141)</f>
        <v>58959.10000000001</v>
      </c>
      <c r="D122" s="67">
        <f>C122/C3</f>
        <v>0.03306721539639333</v>
      </c>
      <c r="E122" s="59"/>
    </row>
    <row r="123" spans="1:5" ht="25.5" customHeight="1">
      <c r="A123" s="2" t="s">
        <v>0</v>
      </c>
      <c r="B123" s="2" t="s">
        <v>23</v>
      </c>
      <c r="C123" s="3" t="s">
        <v>24</v>
      </c>
      <c r="D123" s="52" t="s">
        <v>1</v>
      </c>
      <c r="E123" s="60"/>
    </row>
    <row r="124" spans="1:5" ht="45" customHeight="1">
      <c r="A124" s="6">
        <v>1</v>
      </c>
      <c r="B124" s="45" t="s">
        <v>92</v>
      </c>
      <c r="C124" s="44">
        <v>13925</v>
      </c>
      <c r="D124" s="53">
        <f>C124/C122</f>
        <v>0.23618067439971094</v>
      </c>
      <c r="E124" s="59"/>
    </row>
    <row r="125" spans="1:5" ht="39" customHeight="1">
      <c r="A125" s="6">
        <f aca="true" t="shared" si="3" ref="A125:A141">A124+1</f>
        <v>2</v>
      </c>
      <c r="B125" s="40" t="s">
        <v>72</v>
      </c>
      <c r="C125" s="44">
        <v>12067.44</v>
      </c>
      <c r="D125" s="53">
        <f>C125/C122</f>
        <v>0.20467476606664617</v>
      </c>
      <c r="E125" s="59"/>
    </row>
    <row r="126" spans="1:8" ht="34.5" customHeight="1">
      <c r="A126" s="6">
        <f t="shared" si="3"/>
        <v>3</v>
      </c>
      <c r="B126" s="28" t="s">
        <v>86</v>
      </c>
      <c r="C126" s="44">
        <f>4080+2400+221.64+1204.8</f>
        <v>7906.4400000000005</v>
      </c>
      <c r="D126" s="53">
        <f>C126/C122</f>
        <v>0.13410041876487258</v>
      </c>
      <c r="E126" s="61" t="s">
        <v>2</v>
      </c>
      <c r="F126" s="13"/>
      <c r="G126" s="13"/>
      <c r="H126" s="13"/>
    </row>
    <row r="127" spans="1:8" ht="41.25" customHeight="1">
      <c r="A127" s="6">
        <f t="shared" si="3"/>
        <v>4</v>
      </c>
      <c r="B127" s="28" t="s">
        <v>87</v>
      </c>
      <c r="C127" s="44">
        <f>991.92+5650.23</f>
        <v>6642.15</v>
      </c>
      <c r="D127" s="53">
        <f>C127/C122</f>
        <v>0.11265690962039784</v>
      </c>
      <c r="E127" s="61"/>
      <c r="F127" s="13"/>
      <c r="G127" s="13"/>
      <c r="H127" s="13"/>
    </row>
    <row r="128" spans="1:8" ht="43.5" customHeight="1">
      <c r="A128" s="6">
        <f t="shared" si="3"/>
        <v>5</v>
      </c>
      <c r="B128" s="28" t="s">
        <v>71</v>
      </c>
      <c r="C128" s="16">
        <f>3180+3002.65</f>
        <v>6182.65</v>
      </c>
      <c r="D128" s="53">
        <f>C128/C122</f>
        <v>0.10486337138796213</v>
      </c>
      <c r="E128" s="61"/>
      <c r="F128" s="13"/>
      <c r="G128" s="13"/>
      <c r="H128" s="13"/>
    </row>
    <row r="129" spans="1:8" ht="33" customHeight="1">
      <c r="A129" s="6">
        <f t="shared" si="3"/>
        <v>6</v>
      </c>
      <c r="B129" s="76" t="s">
        <v>88</v>
      </c>
      <c r="C129" s="44">
        <v>3180</v>
      </c>
      <c r="D129" s="53">
        <f>C129/C122</f>
        <v>0.053935694405104546</v>
      </c>
      <c r="E129" s="61"/>
      <c r="F129" s="13"/>
      <c r="G129" s="13"/>
      <c r="H129" s="13"/>
    </row>
    <row r="130" spans="1:8" ht="50.25" customHeight="1">
      <c r="A130" s="6">
        <f t="shared" si="3"/>
        <v>7</v>
      </c>
      <c r="B130" s="40" t="s">
        <v>57</v>
      </c>
      <c r="C130" s="44">
        <f>1726.8+511.4</f>
        <v>2238.2</v>
      </c>
      <c r="D130" s="53">
        <f>C130/C122</f>
        <v>0.037961909187894646</v>
      </c>
      <c r="E130" s="61"/>
      <c r="F130" s="13"/>
      <c r="G130" s="13"/>
      <c r="H130" s="13"/>
    </row>
    <row r="131" spans="1:8" ht="30" customHeight="1">
      <c r="A131" s="6">
        <f t="shared" si="3"/>
        <v>8</v>
      </c>
      <c r="B131" s="40" t="s">
        <v>53</v>
      </c>
      <c r="C131" s="44">
        <f>1343.42+241.8</f>
        <v>1585.22</v>
      </c>
      <c r="D131" s="53">
        <f>C131/C122</f>
        <v>0.026886774051842713</v>
      </c>
      <c r="E131" s="61"/>
      <c r="F131" s="13"/>
      <c r="G131" s="13"/>
      <c r="H131" s="13"/>
    </row>
    <row r="132" spans="1:8" ht="54.75" customHeight="1">
      <c r="A132" s="6">
        <f t="shared" si="3"/>
        <v>9</v>
      </c>
      <c r="B132" s="19" t="s">
        <v>50</v>
      </c>
      <c r="C132" s="44">
        <v>1333.2</v>
      </c>
      <c r="D132" s="53">
        <f>C132/C122</f>
        <v>0.022612285465687228</v>
      </c>
      <c r="E132" s="61"/>
      <c r="F132" s="13"/>
      <c r="G132" s="13"/>
      <c r="H132" s="13"/>
    </row>
    <row r="133" spans="1:8" ht="41.25" customHeight="1">
      <c r="A133" s="6">
        <f t="shared" si="3"/>
        <v>10</v>
      </c>
      <c r="B133" s="20" t="s">
        <v>40</v>
      </c>
      <c r="C133" s="16">
        <f>1115.9</f>
        <v>1115.9</v>
      </c>
      <c r="D133" s="53">
        <f>C133/C122</f>
        <v>0.018926679681338418</v>
      </c>
      <c r="E133" s="61"/>
      <c r="F133" s="13"/>
      <c r="G133" s="13"/>
      <c r="H133" s="13"/>
    </row>
    <row r="134" spans="1:8" ht="41.25" customHeight="1">
      <c r="A134" s="6">
        <f t="shared" si="3"/>
        <v>11</v>
      </c>
      <c r="B134" s="38" t="s">
        <v>48</v>
      </c>
      <c r="C134" s="16">
        <f>538.9+355.4</f>
        <v>894.3</v>
      </c>
      <c r="D134" s="53">
        <f>C134/C122</f>
        <v>0.01516814198317138</v>
      </c>
      <c r="E134" s="61"/>
      <c r="F134" s="24"/>
      <c r="G134" s="13"/>
      <c r="H134" s="13"/>
    </row>
    <row r="135" spans="1:8" ht="44.25" customHeight="1">
      <c r="A135" s="6">
        <f t="shared" si="3"/>
        <v>12</v>
      </c>
      <c r="B135" s="19" t="s">
        <v>41</v>
      </c>
      <c r="C135" s="44">
        <v>524.8</v>
      </c>
      <c r="D135" s="53">
        <f>C135/C122</f>
        <v>0.008901085667861278</v>
      </c>
      <c r="E135" s="61"/>
      <c r="F135" s="24"/>
      <c r="G135" s="13"/>
      <c r="H135" s="13"/>
    </row>
    <row r="136" spans="1:8" ht="32.25" customHeight="1">
      <c r="A136" s="6">
        <f t="shared" si="3"/>
        <v>13</v>
      </c>
      <c r="B136" s="40" t="s">
        <v>55</v>
      </c>
      <c r="C136" s="44">
        <v>393.9</v>
      </c>
      <c r="D136" s="53">
        <f>C136/C122</f>
        <v>0.006680902523953043</v>
      </c>
      <c r="E136" s="61"/>
      <c r="F136" s="24"/>
      <c r="G136" s="13"/>
      <c r="H136" s="13"/>
    </row>
    <row r="137" spans="1:8" ht="27.75" customHeight="1">
      <c r="A137" s="6">
        <f t="shared" si="3"/>
        <v>14</v>
      </c>
      <c r="B137" s="20" t="s">
        <v>62</v>
      </c>
      <c r="C137" s="44">
        <f>105+56.5+108.4</f>
        <v>269.9</v>
      </c>
      <c r="D137" s="53">
        <f>C137/C122</f>
        <v>0.004577749660357772</v>
      </c>
      <c r="E137" s="61"/>
      <c r="F137" s="24"/>
      <c r="G137" s="13"/>
      <c r="H137" s="13"/>
    </row>
    <row r="138" spans="1:8" ht="30" customHeight="1">
      <c r="A138" s="6">
        <f t="shared" si="3"/>
        <v>15</v>
      </c>
      <c r="B138" s="37" t="s">
        <v>42</v>
      </c>
      <c r="C138" s="44">
        <v>228</v>
      </c>
      <c r="D138" s="53">
        <f>C138/C122</f>
        <v>0.003867087523384854</v>
      </c>
      <c r="E138" s="61"/>
      <c r="F138" s="24"/>
      <c r="G138" s="13"/>
      <c r="H138" s="13"/>
    </row>
    <row r="139" spans="1:8" ht="42" customHeight="1">
      <c r="A139" s="6">
        <f t="shared" si="3"/>
        <v>16</v>
      </c>
      <c r="B139" s="20" t="s">
        <v>54</v>
      </c>
      <c r="C139" s="44">
        <v>188.4</v>
      </c>
      <c r="D139" s="53">
        <f>C139/C122</f>
        <v>0.00319543547984959</v>
      </c>
      <c r="E139" s="61"/>
      <c r="F139" s="24"/>
      <c r="G139" s="13"/>
      <c r="H139" s="13"/>
    </row>
    <row r="140" spans="1:8" ht="36" customHeight="1">
      <c r="A140" s="6">
        <f t="shared" si="3"/>
        <v>17</v>
      </c>
      <c r="B140" s="40" t="s">
        <v>67</v>
      </c>
      <c r="C140" s="16">
        <v>158</v>
      </c>
      <c r="D140" s="53">
        <f>C140/C122</f>
        <v>0.0026798238100649427</v>
      </c>
      <c r="E140" s="61"/>
      <c r="F140" s="24"/>
      <c r="G140" s="13"/>
      <c r="H140" s="13"/>
    </row>
    <row r="141" spans="1:8" ht="37.5" customHeight="1">
      <c r="A141" s="6">
        <f t="shared" si="3"/>
        <v>18</v>
      </c>
      <c r="B141" s="40" t="s">
        <v>49</v>
      </c>
      <c r="C141" s="44">
        <v>125.6</v>
      </c>
      <c r="D141" s="53">
        <f>C141/C122</f>
        <v>0.0021302903198997265</v>
      </c>
      <c r="E141" s="61"/>
      <c r="F141" s="24"/>
      <c r="G141" s="13"/>
      <c r="H141" s="13"/>
    </row>
    <row r="142" spans="1:5" ht="30" customHeight="1">
      <c r="A142" s="90" t="s">
        <v>61</v>
      </c>
      <c r="B142" s="91"/>
      <c r="C142" s="32">
        <f>SUM(C144:C157)</f>
        <v>310988.78</v>
      </c>
      <c r="D142" s="56">
        <f>C142/C3</f>
        <v>0.17441807921290484</v>
      </c>
      <c r="E142" s="59"/>
    </row>
    <row r="143" spans="1:5" ht="30" customHeight="1">
      <c r="A143" s="2" t="s">
        <v>0</v>
      </c>
      <c r="B143" s="2" t="s">
        <v>23</v>
      </c>
      <c r="C143" s="3" t="s">
        <v>24</v>
      </c>
      <c r="D143" s="52" t="s">
        <v>1</v>
      </c>
      <c r="E143" s="59"/>
    </row>
    <row r="144" spans="1:6" ht="40.5" customHeight="1">
      <c r="A144" s="31">
        <v>1</v>
      </c>
      <c r="B144" s="20" t="s">
        <v>65</v>
      </c>
      <c r="C144" s="33">
        <v>177300</v>
      </c>
      <c r="D144" s="57">
        <f>C144/C142</f>
        <v>0.5701170312318019</v>
      </c>
      <c r="E144" s="59"/>
      <c r="F144" s="4"/>
    </row>
    <row r="145" spans="1:6" ht="33" customHeight="1">
      <c r="A145" s="31">
        <f aca="true" t="shared" si="4" ref="A145:A157">A144+1</f>
        <v>2</v>
      </c>
      <c r="B145" s="12" t="s">
        <v>36</v>
      </c>
      <c r="C145" s="33">
        <v>96066.86</v>
      </c>
      <c r="D145" s="57">
        <f>C145/C142</f>
        <v>0.30890780046791394</v>
      </c>
      <c r="E145" s="59"/>
      <c r="F145" s="4"/>
    </row>
    <row r="146" spans="1:5" ht="29.25" customHeight="1">
      <c r="A146" s="31">
        <f t="shared" si="4"/>
        <v>3</v>
      </c>
      <c r="B146" s="22" t="s">
        <v>28</v>
      </c>
      <c r="C146" s="33">
        <v>21134.7</v>
      </c>
      <c r="D146" s="57">
        <f>C146/C142</f>
        <v>0.06795968651988023</v>
      </c>
      <c r="E146" s="59"/>
    </row>
    <row r="147" spans="1:5" ht="28.5" customHeight="1">
      <c r="A147" s="31">
        <f t="shared" si="4"/>
        <v>4</v>
      </c>
      <c r="B147" s="45" t="s">
        <v>56</v>
      </c>
      <c r="C147" s="44">
        <v>3400</v>
      </c>
      <c r="D147" s="57">
        <f>C147/C142</f>
        <v>0.01093287031126975</v>
      </c>
      <c r="E147" s="59"/>
    </row>
    <row r="148" spans="1:7" ht="29.25" customHeight="1">
      <c r="A148" s="31">
        <f t="shared" si="4"/>
        <v>5</v>
      </c>
      <c r="B148" s="20" t="s">
        <v>45</v>
      </c>
      <c r="C148" s="44">
        <f>1118.01+563.58+630.72+671.4</f>
        <v>2983.7100000000005</v>
      </c>
      <c r="D148" s="57">
        <f>C148/C142</f>
        <v>0.009594268963658432</v>
      </c>
      <c r="E148" s="59"/>
      <c r="G148" s="4"/>
    </row>
    <row r="149" spans="1:5" ht="96.75" customHeight="1">
      <c r="A149" s="31">
        <f t="shared" si="4"/>
        <v>6</v>
      </c>
      <c r="B149" s="19" t="s">
        <v>60</v>
      </c>
      <c r="C149" s="44">
        <f>800+28+137+1468.5+150.66</f>
        <v>2584.16</v>
      </c>
      <c r="D149" s="57">
        <f>C149/C142</f>
        <v>0.008309495924579658</v>
      </c>
      <c r="E149" s="59"/>
    </row>
    <row r="150" spans="1:5" ht="35.25" customHeight="1">
      <c r="A150" s="31">
        <f t="shared" si="4"/>
        <v>7</v>
      </c>
      <c r="B150" s="28" t="s">
        <v>79</v>
      </c>
      <c r="C150" s="44">
        <v>2350</v>
      </c>
      <c r="D150" s="57">
        <f>C150/C142</f>
        <v>0.007556542715142327</v>
      </c>
      <c r="E150" s="59"/>
    </row>
    <row r="151" spans="1:5" ht="29.25" customHeight="1">
      <c r="A151" s="31">
        <f t="shared" si="4"/>
        <v>8</v>
      </c>
      <c r="B151" s="34" t="s">
        <v>52</v>
      </c>
      <c r="C151" s="44">
        <v>1346</v>
      </c>
      <c r="D151" s="57">
        <f>C151/C142</f>
        <v>0.004328130423226201</v>
      </c>
      <c r="E151" s="59"/>
    </row>
    <row r="152" spans="1:5" ht="39" customHeight="1">
      <c r="A152" s="31">
        <f t="shared" si="4"/>
        <v>9</v>
      </c>
      <c r="B152" s="74" t="s">
        <v>59</v>
      </c>
      <c r="C152" s="44">
        <f>325+306.5+262.2+176</f>
        <v>1069.7</v>
      </c>
      <c r="D152" s="57">
        <f>C152/C142</f>
        <v>0.0034396739329309563</v>
      </c>
      <c r="E152" s="59"/>
    </row>
    <row r="153" spans="1:5" ht="33" customHeight="1">
      <c r="A153" s="31">
        <f t="shared" si="4"/>
        <v>10</v>
      </c>
      <c r="B153" s="28" t="s">
        <v>43</v>
      </c>
      <c r="C153" s="33">
        <v>1050</v>
      </c>
      <c r="D153" s="57">
        <f>C153/C142</f>
        <v>0.0033763275961274227</v>
      </c>
      <c r="E153" s="59"/>
    </row>
    <row r="154" spans="1:5" ht="30" customHeight="1">
      <c r="A154" s="31">
        <f t="shared" si="4"/>
        <v>11</v>
      </c>
      <c r="B154" s="40" t="s">
        <v>58</v>
      </c>
      <c r="C154" s="33">
        <v>699</v>
      </c>
      <c r="D154" s="57">
        <f>C154/C142</f>
        <v>0.0022476695139933985</v>
      </c>
      <c r="E154" s="59"/>
    </row>
    <row r="155" spans="1:5" ht="32.25" customHeight="1">
      <c r="A155" s="31">
        <f t="shared" si="4"/>
        <v>12</v>
      </c>
      <c r="B155" s="73" t="s">
        <v>81</v>
      </c>
      <c r="C155" s="33">
        <f>300+271</f>
        <v>571</v>
      </c>
      <c r="D155" s="57">
        <f>C155/C142</f>
        <v>0.001836079102275008</v>
      </c>
      <c r="E155" s="59"/>
    </row>
    <row r="156" spans="1:5" ht="36" customHeight="1">
      <c r="A156" s="31">
        <f t="shared" si="4"/>
        <v>13</v>
      </c>
      <c r="B156" s="84" t="s">
        <v>44</v>
      </c>
      <c r="C156" s="33">
        <f>93.17+46.97+52.56+55.95</f>
        <v>248.64999999999998</v>
      </c>
      <c r="D156" s="57">
        <f>C156/C142</f>
        <v>0.0007995465302638892</v>
      </c>
      <c r="E156" s="59"/>
    </row>
    <row r="157" spans="1:11" ht="45" customHeight="1">
      <c r="A157" s="31">
        <f t="shared" si="4"/>
        <v>14</v>
      </c>
      <c r="B157" s="28" t="s">
        <v>68</v>
      </c>
      <c r="C157" s="44">
        <v>185</v>
      </c>
      <c r="D157" s="57">
        <f>C157/C142</f>
        <v>0.0005948767669367364</v>
      </c>
      <c r="E157" s="59"/>
      <c r="J157" s="93"/>
      <c r="K157" s="93"/>
    </row>
    <row r="158" spans="1:6" ht="30.75" customHeight="1">
      <c r="A158" s="92" t="s">
        <v>27</v>
      </c>
      <c r="B158" s="92"/>
      <c r="C158" s="30">
        <f>SUM(C160:C184)</f>
        <v>154142.55</v>
      </c>
      <c r="D158" s="58">
        <f>C158/C3</f>
        <v>0.08645086004703817</v>
      </c>
      <c r="E158" s="59"/>
      <c r="F158" s="29"/>
    </row>
    <row r="159" spans="1:12" ht="25.5">
      <c r="A159" s="2" t="s">
        <v>0</v>
      </c>
      <c r="B159" s="2" t="s">
        <v>23</v>
      </c>
      <c r="C159" s="3" t="s">
        <v>24</v>
      </c>
      <c r="D159" s="52" t="s">
        <v>1</v>
      </c>
      <c r="E159" s="59"/>
      <c r="G159" s="29"/>
      <c r="H159" s="46"/>
      <c r="I159" s="46"/>
      <c r="J159" s="29"/>
      <c r="K159" s="29"/>
      <c r="L159" s="46"/>
    </row>
    <row r="160" spans="1:12" ht="19.5" customHeight="1">
      <c r="A160" s="1">
        <v>1</v>
      </c>
      <c r="B160" s="10" t="s">
        <v>37</v>
      </c>
      <c r="C160" s="14">
        <v>95661.46</v>
      </c>
      <c r="D160" s="53">
        <f>C160/C158</f>
        <v>0.6206038501374216</v>
      </c>
      <c r="E160" s="59"/>
      <c r="F160" s="4"/>
      <c r="G160" s="29"/>
      <c r="H160" s="46"/>
      <c r="I160" s="46"/>
      <c r="J160" s="29"/>
      <c r="K160" s="46"/>
      <c r="L160" s="46"/>
    </row>
    <row r="161" spans="1:12" ht="19.5" customHeight="1">
      <c r="A161" s="1">
        <f aca="true" t="shared" si="5" ref="A161:A184">A160+1</f>
        <v>2</v>
      </c>
      <c r="B161" s="22" t="s">
        <v>28</v>
      </c>
      <c r="C161" s="23">
        <f>21045.52+2200</f>
        <v>23245.52</v>
      </c>
      <c r="D161" s="53">
        <f>C161/C158</f>
        <v>0.15080534219785519</v>
      </c>
      <c r="E161" s="59"/>
      <c r="G161" s="29"/>
      <c r="H161" s="46"/>
      <c r="I161" s="46"/>
      <c r="J161" s="29"/>
      <c r="K161" s="29"/>
      <c r="L161" s="46"/>
    </row>
    <row r="162" spans="1:12" ht="30.75" customHeight="1">
      <c r="A162" s="1">
        <f t="shared" si="5"/>
        <v>3</v>
      </c>
      <c r="B162" s="72" t="s">
        <v>89</v>
      </c>
      <c r="C162" s="44">
        <v>10000</v>
      </c>
      <c r="D162" s="53">
        <f>C162/C158</f>
        <v>0.06487501342101841</v>
      </c>
      <c r="E162" s="89"/>
      <c r="F162" s="4"/>
      <c r="G162" s="29"/>
      <c r="H162" s="46"/>
      <c r="I162" s="46"/>
      <c r="J162" s="29"/>
      <c r="K162" s="29"/>
      <c r="L162" s="46"/>
    </row>
    <row r="163" spans="1:12" ht="31.5" customHeight="1">
      <c r="A163" s="1">
        <f t="shared" si="5"/>
        <v>4</v>
      </c>
      <c r="B163" s="49" t="s">
        <v>34</v>
      </c>
      <c r="C163" s="44">
        <f>246.6+371.58+369.86+540.8+424.27+358.11+310.67+280.88+173.86+290.58+323.42+232.89+594.93+154.14+618.3+312.21</f>
        <v>5603.1</v>
      </c>
      <c r="D163" s="53">
        <f>C163/C158</f>
        <v>0.03635011876993083</v>
      </c>
      <c r="E163" s="59"/>
      <c r="G163" s="29"/>
      <c r="H163" s="46"/>
      <c r="I163" s="46"/>
      <c r="J163" s="29"/>
      <c r="K163" s="29"/>
      <c r="L163" s="46"/>
    </row>
    <row r="164" spans="1:12" ht="19.5" customHeight="1">
      <c r="A164" s="1">
        <f t="shared" si="5"/>
        <v>5</v>
      </c>
      <c r="B164" s="10" t="s">
        <v>29</v>
      </c>
      <c r="C164" s="14">
        <f>220.91+411.24+479.92+380.59+280.17+247.17+173.5+628.5+370.77+3+348.56+222.01+339.02</f>
        <v>4105.360000000001</v>
      </c>
      <c r="D164" s="53">
        <f>C164/C158</f>
        <v>0.026633528509811218</v>
      </c>
      <c r="E164" s="59"/>
      <c r="G164" s="29"/>
      <c r="H164" s="46"/>
      <c r="I164" s="46"/>
      <c r="J164" s="29"/>
      <c r="K164" s="29"/>
      <c r="L164" s="46"/>
    </row>
    <row r="165" spans="1:12" ht="27.75" customHeight="1">
      <c r="A165" s="1">
        <f t="shared" si="5"/>
        <v>6</v>
      </c>
      <c r="B165" s="28" t="s">
        <v>77</v>
      </c>
      <c r="C165" s="44">
        <v>3187</v>
      </c>
      <c r="D165" s="53">
        <f>C165/C158</f>
        <v>0.020675666777278567</v>
      </c>
      <c r="E165" s="59"/>
      <c r="G165" s="46"/>
      <c r="H165" s="46"/>
      <c r="I165" s="46"/>
      <c r="J165" s="29"/>
      <c r="K165" s="46"/>
      <c r="L165" s="46"/>
    </row>
    <row r="166" spans="1:12" ht="19.5" customHeight="1">
      <c r="A166" s="1">
        <f t="shared" si="5"/>
        <v>7</v>
      </c>
      <c r="B166" s="36" t="s">
        <v>30</v>
      </c>
      <c r="C166" s="14">
        <f>96.66+132.75+46+225+162.46+46+47.5+49.36+93+69.46+95.46+138+92+46+57+92+41+54+46+148+100+86+82+88</f>
        <v>2133.65</v>
      </c>
      <c r="D166" s="53">
        <f>C166/C158</f>
        <v>0.013842057238575593</v>
      </c>
      <c r="E166" s="59"/>
      <c r="G166" s="47"/>
      <c r="H166" s="46"/>
      <c r="I166" s="46"/>
      <c r="J166" s="29"/>
      <c r="K166" s="46"/>
      <c r="L166" s="46"/>
    </row>
    <row r="167" spans="1:12" ht="33" customHeight="1">
      <c r="A167" s="1">
        <f t="shared" si="5"/>
        <v>8</v>
      </c>
      <c r="B167" s="38" t="s">
        <v>64</v>
      </c>
      <c r="C167" s="14">
        <f>1773+276</f>
        <v>2049</v>
      </c>
      <c r="D167" s="53">
        <f>C167/C158</f>
        <v>0.013292890249966672</v>
      </c>
      <c r="E167" s="59"/>
      <c r="G167" s="29"/>
      <c r="H167" s="46"/>
      <c r="I167" s="46"/>
      <c r="J167" s="29"/>
      <c r="K167" s="46"/>
      <c r="L167" s="46"/>
    </row>
    <row r="168" spans="1:12" ht="36" customHeight="1">
      <c r="A168" s="1">
        <f t="shared" si="5"/>
        <v>9</v>
      </c>
      <c r="B168" s="28" t="s">
        <v>69</v>
      </c>
      <c r="C168" s="11">
        <f>350+350+350+350</f>
        <v>1400</v>
      </c>
      <c r="D168" s="53">
        <f>C168/C158</f>
        <v>0.009082501878942576</v>
      </c>
      <c r="E168" s="59"/>
      <c r="G168" s="29"/>
      <c r="H168" s="46"/>
      <c r="I168" s="46"/>
      <c r="J168" s="29"/>
      <c r="K168" s="46"/>
      <c r="L168" s="46"/>
    </row>
    <row r="169" spans="1:12" ht="46.5" customHeight="1">
      <c r="A169" s="1">
        <f t="shared" si="5"/>
        <v>10</v>
      </c>
      <c r="B169" s="72" t="s">
        <v>70</v>
      </c>
      <c r="C169" s="11">
        <f>300+300+300+300</f>
        <v>1200</v>
      </c>
      <c r="D169" s="53">
        <f>C169/C158</f>
        <v>0.007785001610522209</v>
      </c>
      <c r="E169" s="59"/>
      <c r="G169" s="29"/>
      <c r="H169" s="46"/>
      <c r="I169" s="46"/>
      <c r="J169" s="29"/>
      <c r="K169" s="46"/>
      <c r="L169" s="46"/>
    </row>
    <row r="170" spans="1:5" ht="34.5" customHeight="1">
      <c r="A170" s="1">
        <f t="shared" si="5"/>
        <v>11</v>
      </c>
      <c r="B170" s="28" t="s">
        <v>73</v>
      </c>
      <c r="C170" s="44">
        <v>978.8</v>
      </c>
      <c r="D170" s="53">
        <f>C170/C158</f>
        <v>0.006349966313649281</v>
      </c>
      <c r="E170" s="59"/>
    </row>
    <row r="171" spans="1:12" ht="27.75" customHeight="1">
      <c r="A171" s="1">
        <f t="shared" si="5"/>
        <v>12</v>
      </c>
      <c r="B171" s="72" t="s">
        <v>80</v>
      </c>
      <c r="C171" s="14">
        <f>145+150+290</f>
        <v>585</v>
      </c>
      <c r="D171" s="53">
        <f>C171/C158</f>
        <v>0.0037951882851295768</v>
      </c>
      <c r="E171" s="59"/>
      <c r="H171" s="4"/>
      <c r="I171" s="4"/>
      <c r="J171" s="4"/>
      <c r="K171" s="4"/>
      <c r="L171" s="4"/>
    </row>
    <row r="172" spans="1:5" ht="30" customHeight="1">
      <c r="A172" s="1">
        <f t="shared" si="5"/>
        <v>13</v>
      </c>
      <c r="B172" s="20" t="s">
        <v>66</v>
      </c>
      <c r="C172" s="14">
        <f>107+90+241.5+146.3</f>
        <v>584.8</v>
      </c>
      <c r="D172" s="53">
        <f>C172/C158</f>
        <v>0.003793890784861156</v>
      </c>
      <c r="E172" s="59"/>
    </row>
    <row r="173" spans="1:5" ht="35.25" customHeight="1">
      <c r="A173" s="1">
        <f t="shared" si="5"/>
        <v>14</v>
      </c>
      <c r="B173" s="72" t="s">
        <v>84</v>
      </c>
      <c r="C173" s="11">
        <f>330.01+206.59</f>
        <v>536.6</v>
      </c>
      <c r="D173" s="53">
        <f>C173/C158</f>
        <v>0.003481193220171848</v>
      </c>
      <c r="E173" s="59"/>
    </row>
    <row r="174" spans="1:5" ht="33.75" customHeight="1">
      <c r="A174" s="1">
        <f t="shared" si="5"/>
        <v>15</v>
      </c>
      <c r="B174" s="72" t="s">
        <v>82</v>
      </c>
      <c r="C174" s="44">
        <v>526</v>
      </c>
      <c r="D174" s="53">
        <f>C174/C158</f>
        <v>0.0034124257059455682</v>
      </c>
      <c r="E174" s="59"/>
    </row>
    <row r="175" spans="1:5" ht="31.5" customHeight="1">
      <c r="A175" s="1">
        <f t="shared" si="5"/>
        <v>16</v>
      </c>
      <c r="B175" s="86" t="s">
        <v>21</v>
      </c>
      <c r="C175" s="14">
        <f>25.83+25.83+25.83+25.83+25.83+25.83+25.83+25.83+25.83+25.83+25.83+57.41+25.83</f>
        <v>367.36999999999983</v>
      </c>
      <c r="D175" s="53">
        <f>C175/C158</f>
        <v>0.002383313368047952</v>
      </c>
      <c r="E175" s="59"/>
    </row>
    <row r="176" spans="1:5" ht="39.75" customHeight="1">
      <c r="A176" s="1">
        <f t="shared" si="5"/>
        <v>17</v>
      </c>
      <c r="B176" s="85" t="s">
        <v>85</v>
      </c>
      <c r="C176" s="14">
        <f>76.7+88.5+194.7</f>
        <v>359.9</v>
      </c>
      <c r="D176" s="53">
        <f>C176/C158</f>
        <v>0.0023348517330224524</v>
      </c>
      <c r="E176" s="59"/>
    </row>
    <row r="177" spans="1:5" ht="36" customHeight="1">
      <c r="A177" s="1">
        <f t="shared" si="5"/>
        <v>18</v>
      </c>
      <c r="B177" s="42" t="s">
        <v>22</v>
      </c>
      <c r="C177" s="14">
        <f>119.16+79.44+39.72+79.44+39.72</f>
        <v>357.48</v>
      </c>
      <c r="D177" s="53">
        <f>C177/C158</f>
        <v>0.002319151979774566</v>
      </c>
      <c r="E177" s="59"/>
    </row>
    <row r="178" spans="1:5" ht="24.75" customHeight="1">
      <c r="A178" s="1">
        <f t="shared" si="5"/>
        <v>19</v>
      </c>
      <c r="B178" s="48" t="s">
        <v>35</v>
      </c>
      <c r="C178" s="9">
        <f>130.77+130.77+54.23</f>
        <v>315.77000000000004</v>
      </c>
      <c r="D178" s="53">
        <f>C178/C158</f>
        <v>0.0020485582987954986</v>
      </c>
      <c r="E178" s="59"/>
    </row>
    <row r="179" spans="1:5" ht="24.75" customHeight="1">
      <c r="A179" s="1">
        <f t="shared" si="5"/>
        <v>20</v>
      </c>
      <c r="B179" s="87" t="s">
        <v>46</v>
      </c>
      <c r="C179" s="14">
        <v>280</v>
      </c>
      <c r="D179" s="53">
        <f>C179/C158</f>
        <v>0.0018165003757885153</v>
      </c>
      <c r="E179" s="59"/>
    </row>
    <row r="180" spans="1:5" ht="43.5" customHeight="1">
      <c r="A180" s="1">
        <f t="shared" si="5"/>
        <v>21</v>
      </c>
      <c r="B180" s="72" t="s">
        <v>83</v>
      </c>
      <c r="C180" s="44">
        <v>212.7</v>
      </c>
      <c r="D180" s="53">
        <f>C180/C158</f>
        <v>0.0013798915354650615</v>
      </c>
      <c r="E180" s="59"/>
    </row>
    <row r="181" spans="1:5" ht="44.25" customHeight="1">
      <c r="A181" s="1">
        <f t="shared" si="5"/>
        <v>22</v>
      </c>
      <c r="B181" s="72" t="s">
        <v>93</v>
      </c>
      <c r="C181" s="44">
        <v>211</v>
      </c>
      <c r="D181" s="53">
        <f>C181/C158</f>
        <v>0.0013688627831834883</v>
      </c>
      <c r="E181" s="59"/>
    </row>
    <row r="182" spans="1:5" ht="33" customHeight="1">
      <c r="A182" s="1">
        <f t="shared" si="5"/>
        <v>23</v>
      </c>
      <c r="B182" s="88" t="s">
        <v>63</v>
      </c>
      <c r="C182" s="44">
        <f>92*2</f>
        <v>184</v>
      </c>
      <c r="D182" s="53">
        <f>C182/C158</f>
        <v>0.0011937002469467387</v>
      </c>
      <c r="E182" s="59"/>
    </row>
    <row r="183" spans="1:5" ht="33" customHeight="1">
      <c r="A183" s="1">
        <f t="shared" si="5"/>
        <v>24</v>
      </c>
      <c r="B183" s="48" t="s">
        <v>47</v>
      </c>
      <c r="C183" s="14">
        <v>57.04</v>
      </c>
      <c r="D183" s="53">
        <f>C183/C158</f>
        <v>0.000370047076553489</v>
      </c>
      <c r="E183" s="59"/>
    </row>
    <row r="184" spans="1:5" ht="22.5" customHeight="1">
      <c r="A184" s="1">
        <f t="shared" si="5"/>
        <v>25</v>
      </c>
      <c r="B184" s="12" t="s">
        <v>39</v>
      </c>
      <c r="C184" s="14">
        <v>1</v>
      </c>
      <c r="D184" s="53">
        <f>C184/C158</f>
        <v>6.487501342101841E-06</v>
      </c>
      <c r="E184" s="59"/>
    </row>
  </sheetData>
  <sheetProtection/>
  <mergeCells count="12">
    <mergeCell ref="A8:B8"/>
    <mergeCell ref="A4:B4"/>
    <mergeCell ref="A142:B142"/>
    <mergeCell ref="A158:B158"/>
    <mergeCell ref="J157:K157"/>
    <mergeCell ref="A1:D1"/>
    <mergeCell ref="A2:D2"/>
    <mergeCell ref="A3:B3"/>
    <mergeCell ref="A122:B122"/>
    <mergeCell ref="A64:B64"/>
    <mergeCell ref="A35:B35"/>
    <mergeCell ref="A115:B115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A27"/>
    </sheetView>
  </sheetViews>
  <sheetFormatPr defaultColWidth="9.00390625" defaultRowHeight="12.75"/>
  <cols>
    <col min="7" max="7" width="10.50390625" style="0" customWidth="1"/>
  </cols>
  <sheetData>
    <row r="1" spans="1:5" ht="12">
      <c r="A1">
        <v>2607.74</v>
      </c>
      <c r="B1">
        <v>583.1</v>
      </c>
      <c r="C1">
        <v>48.6</v>
      </c>
      <c r="D1" s="25">
        <f>A1+B1+C1</f>
        <v>3239.4399999999996</v>
      </c>
      <c r="E1" s="27">
        <f>D1*22/100</f>
        <v>712.6768</v>
      </c>
    </row>
    <row r="2" spans="1:5" ht="12">
      <c r="A2">
        <v>3853.64</v>
      </c>
      <c r="B2">
        <v>861.69</v>
      </c>
      <c r="C2">
        <v>71.81</v>
      </c>
      <c r="D2" s="26">
        <f aca="true" t="shared" si="0" ref="D2:D27">A2+B2+C2</f>
        <v>4787.14</v>
      </c>
      <c r="E2" s="27">
        <f aca="true" t="shared" si="1" ref="E2:E27">D2*22/100</f>
        <v>1053.1708</v>
      </c>
    </row>
    <row r="3" spans="1:5" ht="12">
      <c r="A3">
        <v>4239.02</v>
      </c>
      <c r="B3">
        <v>947.85</v>
      </c>
      <c r="C3">
        <v>78.99</v>
      </c>
      <c r="D3" s="26">
        <f t="shared" si="0"/>
        <v>5265.860000000001</v>
      </c>
      <c r="E3" s="27">
        <f t="shared" si="1"/>
        <v>1158.4892000000002</v>
      </c>
    </row>
    <row r="4" spans="1:5" ht="12">
      <c r="A4">
        <v>1273.74</v>
      </c>
      <c r="B4">
        <v>284.81</v>
      </c>
      <c r="C4">
        <v>23.73</v>
      </c>
      <c r="D4" s="26">
        <f t="shared" si="0"/>
        <v>1582.28</v>
      </c>
      <c r="E4" s="27">
        <f t="shared" si="1"/>
        <v>348.10159999999996</v>
      </c>
    </row>
    <row r="5" spans="1:5" ht="12">
      <c r="A5">
        <v>4182.59</v>
      </c>
      <c r="B5">
        <v>935.24</v>
      </c>
      <c r="C5">
        <v>77.94</v>
      </c>
      <c r="D5" s="26">
        <f t="shared" si="0"/>
        <v>5195.7699999999995</v>
      </c>
      <c r="E5" s="27">
        <f t="shared" si="1"/>
        <v>1143.0693999999999</v>
      </c>
    </row>
    <row r="6" spans="1:7" ht="12">
      <c r="A6">
        <v>1838.18</v>
      </c>
      <c r="B6">
        <v>411.03</v>
      </c>
      <c r="C6">
        <v>34.25</v>
      </c>
      <c r="D6" s="26">
        <f t="shared" si="0"/>
        <v>2283.46</v>
      </c>
      <c r="E6" s="27">
        <f t="shared" si="1"/>
        <v>502.36120000000005</v>
      </c>
      <c r="F6">
        <v>525.17</v>
      </c>
      <c r="G6" s="4">
        <f>F6-E6</f>
        <v>22.808799999999906</v>
      </c>
    </row>
    <row r="7" spans="1:7" ht="12">
      <c r="A7">
        <v>3374.76</v>
      </c>
      <c r="B7">
        <v>754.61</v>
      </c>
      <c r="C7">
        <v>62.88</v>
      </c>
      <c r="D7" s="26">
        <f t="shared" si="0"/>
        <v>4192.25</v>
      </c>
      <c r="E7" s="27">
        <f t="shared" si="1"/>
        <v>922.295</v>
      </c>
      <c r="F7">
        <v>922.29</v>
      </c>
      <c r="G7" s="4">
        <f>F7-E7</f>
        <v>-0.0049999999999954525</v>
      </c>
    </row>
    <row r="8" spans="1:5" ht="12">
      <c r="A8">
        <v>3876.74</v>
      </c>
      <c r="B8">
        <v>866.84</v>
      </c>
      <c r="C8">
        <v>72.24</v>
      </c>
      <c r="D8" s="26">
        <f t="shared" si="0"/>
        <v>4815.82</v>
      </c>
      <c r="E8" s="27">
        <f t="shared" si="1"/>
        <v>1059.4804</v>
      </c>
    </row>
    <row r="9" spans="1:5" ht="12">
      <c r="A9">
        <v>4259.31</v>
      </c>
      <c r="B9">
        <v>952.39</v>
      </c>
      <c r="C9">
        <v>79.36</v>
      </c>
      <c r="D9" s="26">
        <f t="shared" si="0"/>
        <v>5291.06</v>
      </c>
      <c r="E9" s="27">
        <f t="shared" si="1"/>
        <v>1164.0332</v>
      </c>
    </row>
    <row r="10" spans="1:5" ht="12">
      <c r="A10">
        <v>3833.35</v>
      </c>
      <c r="B10">
        <v>857.15</v>
      </c>
      <c r="C10">
        <v>71.44</v>
      </c>
      <c r="D10" s="26">
        <f t="shared" si="0"/>
        <v>4761.94</v>
      </c>
      <c r="E10" s="27">
        <f t="shared" si="1"/>
        <v>1047.6268</v>
      </c>
    </row>
    <row r="11" spans="1:7" ht="12">
      <c r="A11">
        <v>4192.6</v>
      </c>
      <c r="B11">
        <v>937.47</v>
      </c>
      <c r="C11">
        <v>78.12</v>
      </c>
      <c r="D11" s="26">
        <f t="shared" si="0"/>
        <v>5208.1900000000005</v>
      </c>
      <c r="E11" s="27">
        <f t="shared" si="1"/>
        <v>1145.8018000000002</v>
      </c>
      <c r="F11">
        <v>1171.8</v>
      </c>
      <c r="G11" s="4">
        <f>F11-E11</f>
        <v>25.99819999999977</v>
      </c>
    </row>
    <row r="12" spans="1:7" ht="12">
      <c r="A12">
        <v>3900.06</v>
      </c>
      <c r="B12">
        <v>872.07</v>
      </c>
      <c r="C12">
        <v>72.68</v>
      </c>
      <c r="D12" s="26">
        <f t="shared" si="0"/>
        <v>4844.81</v>
      </c>
      <c r="E12" s="27">
        <f t="shared" si="1"/>
        <v>1065.8582000000001</v>
      </c>
      <c r="F12">
        <v>1039.86</v>
      </c>
      <c r="G12" s="4">
        <f>F12-E12</f>
        <v>-25.998200000000224</v>
      </c>
    </row>
    <row r="13" spans="1:5" ht="12">
      <c r="A13">
        <v>4478.95</v>
      </c>
      <c r="B13">
        <v>1001.51</v>
      </c>
      <c r="C13">
        <v>83.46</v>
      </c>
      <c r="D13" s="26">
        <f t="shared" si="0"/>
        <v>5563.92</v>
      </c>
      <c r="E13" s="27">
        <f t="shared" si="1"/>
        <v>1224.0624</v>
      </c>
    </row>
    <row r="14" spans="1:5" ht="12">
      <c r="A14">
        <v>3613.71</v>
      </c>
      <c r="B14">
        <v>808.03</v>
      </c>
      <c r="C14">
        <v>67.34</v>
      </c>
      <c r="D14" s="26">
        <f t="shared" si="0"/>
        <v>4489.08</v>
      </c>
      <c r="E14" s="27">
        <f t="shared" si="1"/>
        <v>987.5975999999999</v>
      </c>
    </row>
    <row r="15" spans="1:5" ht="12">
      <c r="A15">
        <v>965.74</v>
      </c>
      <c r="B15">
        <v>215.94</v>
      </c>
      <c r="C15">
        <v>18</v>
      </c>
      <c r="D15" s="26">
        <f t="shared" si="0"/>
        <v>1199.68</v>
      </c>
      <c r="E15" s="27">
        <f t="shared" si="1"/>
        <v>263.92960000000005</v>
      </c>
    </row>
    <row r="16" spans="1:5" ht="12">
      <c r="A16">
        <v>1941.95</v>
      </c>
      <c r="B16">
        <v>434.22</v>
      </c>
      <c r="C16">
        <v>36.19</v>
      </c>
      <c r="D16" s="26">
        <f t="shared" si="0"/>
        <v>2412.36</v>
      </c>
      <c r="E16" s="27">
        <f t="shared" si="1"/>
        <v>530.7192</v>
      </c>
    </row>
    <row r="17" spans="1:5" ht="12">
      <c r="A17">
        <v>2304.24</v>
      </c>
      <c r="B17">
        <v>515.23</v>
      </c>
      <c r="C17">
        <v>42.94</v>
      </c>
      <c r="D17" s="26">
        <f t="shared" si="0"/>
        <v>2862.41</v>
      </c>
      <c r="E17" s="27">
        <f t="shared" si="1"/>
        <v>629.7302</v>
      </c>
    </row>
    <row r="18" spans="1:7" ht="12">
      <c r="A18">
        <v>2109.95</v>
      </c>
      <c r="B18">
        <v>471.79</v>
      </c>
      <c r="C18">
        <v>39.3</v>
      </c>
      <c r="D18" s="26">
        <f t="shared" si="0"/>
        <v>2621.04</v>
      </c>
      <c r="E18" s="27">
        <f t="shared" si="1"/>
        <v>576.6288</v>
      </c>
      <c r="F18">
        <v>626.3</v>
      </c>
      <c r="G18" s="4">
        <f>F18-E18</f>
        <v>49.6712</v>
      </c>
    </row>
    <row r="19" spans="1:5" ht="12">
      <c r="A19">
        <v>4069.45</v>
      </c>
      <c r="B19">
        <v>909.94</v>
      </c>
      <c r="C19">
        <v>75.83</v>
      </c>
      <c r="D19" s="26">
        <f t="shared" si="0"/>
        <v>5055.219999999999</v>
      </c>
      <c r="E19" s="27">
        <f t="shared" si="1"/>
        <v>1112.1483999999998</v>
      </c>
    </row>
    <row r="20" spans="1:5" ht="12">
      <c r="A20">
        <v>4023.21</v>
      </c>
      <c r="B20">
        <v>899.6</v>
      </c>
      <c r="C20">
        <v>74.97</v>
      </c>
      <c r="D20" s="26">
        <f t="shared" si="0"/>
        <v>4997.780000000001</v>
      </c>
      <c r="E20" s="27">
        <f t="shared" si="1"/>
        <v>1099.5116000000003</v>
      </c>
    </row>
    <row r="21" spans="1:5" ht="12">
      <c r="A21">
        <v>4046.33</v>
      </c>
      <c r="B21">
        <v>904.77</v>
      </c>
      <c r="C21">
        <v>75.4</v>
      </c>
      <c r="D21" s="26">
        <f t="shared" si="0"/>
        <v>5026.5</v>
      </c>
      <c r="E21" s="27">
        <f t="shared" si="1"/>
        <v>1105.83</v>
      </c>
    </row>
    <row r="22" spans="1:5" ht="12">
      <c r="A22">
        <v>4046.33</v>
      </c>
      <c r="B22">
        <v>904.77</v>
      </c>
      <c r="C22">
        <v>75.4</v>
      </c>
      <c r="D22" s="26">
        <f t="shared" si="0"/>
        <v>5026.5</v>
      </c>
      <c r="E22" s="27">
        <f t="shared" si="1"/>
        <v>1105.83</v>
      </c>
    </row>
    <row r="23" spans="1:5" ht="12">
      <c r="A23">
        <v>3788.6</v>
      </c>
      <c r="B23">
        <v>847.14</v>
      </c>
      <c r="C23">
        <v>70.59</v>
      </c>
      <c r="D23" s="26">
        <f t="shared" si="0"/>
        <v>4706.33</v>
      </c>
      <c r="E23" s="27">
        <f t="shared" si="1"/>
        <v>1035.3926</v>
      </c>
    </row>
    <row r="24" spans="1:5" ht="12">
      <c r="A24">
        <v>4046.33</v>
      </c>
      <c r="B24">
        <v>904.77</v>
      </c>
      <c r="C24">
        <v>75.4</v>
      </c>
      <c r="D24" s="26">
        <f t="shared" si="0"/>
        <v>5026.5</v>
      </c>
      <c r="E24" s="27">
        <f t="shared" si="1"/>
        <v>1105.83</v>
      </c>
    </row>
    <row r="25" spans="1:5" ht="12">
      <c r="A25">
        <v>4046.33</v>
      </c>
      <c r="B25">
        <v>904.77</v>
      </c>
      <c r="C25">
        <v>75.4</v>
      </c>
      <c r="D25" s="26">
        <f t="shared" si="0"/>
        <v>5026.5</v>
      </c>
      <c r="E25" s="27">
        <f t="shared" si="1"/>
        <v>1105.83</v>
      </c>
    </row>
    <row r="26" spans="1:5" ht="12">
      <c r="A26">
        <v>4164.9</v>
      </c>
      <c r="B26">
        <v>931.28</v>
      </c>
      <c r="C26">
        <v>77.6</v>
      </c>
      <c r="D26" s="26">
        <f t="shared" si="0"/>
        <v>5173.78</v>
      </c>
      <c r="E26" s="27">
        <f t="shared" si="1"/>
        <v>1138.2315999999998</v>
      </c>
    </row>
    <row r="27" spans="1:5" ht="12">
      <c r="A27">
        <v>3618.22</v>
      </c>
      <c r="B27">
        <v>809.04</v>
      </c>
      <c r="C27">
        <v>67.42</v>
      </c>
      <c r="D27" s="26">
        <f t="shared" si="0"/>
        <v>4494.68</v>
      </c>
      <c r="E27" s="27">
        <f t="shared" si="1"/>
        <v>988.8296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10.50390625" style="0" customWidth="1"/>
    <col min="3" max="3" width="9.50390625" style="0" bestFit="1" customWidth="1"/>
    <col min="5" max="5" width="9.50390625" style="0" bestFit="1" customWidth="1"/>
  </cols>
  <sheetData>
    <row r="1" spans="2:4" ht="12">
      <c r="B1" t="s">
        <v>16</v>
      </c>
      <c r="C1" t="s">
        <v>17</v>
      </c>
      <c r="D1" t="s">
        <v>18</v>
      </c>
    </row>
    <row r="2" spans="1:5" ht="12">
      <c r="A2" t="s">
        <v>3</v>
      </c>
      <c r="B2" s="4">
        <v>10846.5</v>
      </c>
      <c r="C2" s="4">
        <v>47994.27</v>
      </c>
      <c r="D2">
        <f>2156.26+1199.03+5321.63+135</f>
        <v>8811.92</v>
      </c>
      <c r="E2" s="26">
        <f aca="true" t="shared" si="0" ref="E2:E13">B2+C2+D2</f>
        <v>67652.69</v>
      </c>
    </row>
    <row r="3" spans="1:5" ht="12">
      <c r="A3" t="s">
        <v>4</v>
      </c>
      <c r="B3" s="4">
        <v>15507.72</v>
      </c>
      <c r="C3" s="4">
        <v>14310.92</v>
      </c>
      <c r="D3" s="4">
        <f>2470+1278+279.3+1000+800.8</f>
        <v>5828.1</v>
      </c>
      <c r="E3" s="26">
        <f t="shared" si="0"/>
        <v>35646.74</v>
      </c>
    </row>
    <row r="4" spans="1:5" ht="12">
      <c r="A4" t="s">
        <v>5</v>
      </c>
      <c r="B4" s="4">
        <v>26412.87</v>
      </c>
      <c r="C4" s="4">
        <v>15115.2</v>
      </c>
      <c r="D4" s="4">
        <v>6974.83</v>
      </c>
      <c r="E4" s="26">
        <f t="shared" si="0"/>
        <v>48502.9</v>
      </c>
    </row>
    <row r="5" spans="1:5" ht="12">
      <c r="A5" t="s">
        <v>6</v>
      </c>
      <c r="B5" s="4">
        <v>29253.91</v>
      </c>
      <c r="C5" s="4">
        <v>11527.96</v>
      </c>
      <c r="D5" s="4">
        <f>271.6+682.65</f>
        <v>954.25</v>
      </c>
      <c r="E5" s="26">
        <f t="shared" si="0"/>
        <v>41736.119999999995</v>
      </c>
    </row>
    <row r="6" spans="1:5" ht="12">
      <c r="A6" t="s">
        <v>7</v>
      </c>
      <c r="B6" s="4">
        <v>9683.59</v>
      </c>
      <c r="C6" s="4">
        <v>64738.79</v>
      </c>
      <c r="D6" s="4">
        <f>300+252.1+282.7+595+512+94.8+298+87.6+188.2+668.4+2752.56+1140+3050</f>
        <v>10221.36</v>
      </c>
      <c r="E6" s="26">
        <f t="shared" si="0"/>
        <v>84643.74</v>
      </c>
    </row>
    <row r="7" spans="1:5" ht="12">
      <c r="A7" t="s">
        <v>8</v>
      </c>
      <c r="B7" s="4">
        <v>91027.4</v>
      </c>
      <c r="C7" s="4">
        <v>6868.27</v>
      </c>
      <c r="D7" s="4">
        <f>677.65+2400</f>
        <v>3077.65</v>
      </c>
      <c r="E7" s="26">
        <f t="shared" si="0"/>
        <v>100973.31999999999</v>
      </c>
    </row>
    <row r="8" spans="1:5" ht="12">
      <c r="A8" t="s">
        <v>9</v>
      </c>
      <c r="B8" s="4">
        <v>42838.76</v>
      </c>
      <c r="C8" s="4">
        <v>14760.49</v>
      </c>
      <c r="D8" s="4">
        <f>2400+5300+2000</f>
        <v>9700</v>
      </c>
      <c r="E8" s="26">
        <f t="shared" si="0"/>
        <v>67299.25</v>
      </c>
    </row>
    <row r="9" spans="1:5" ht="12">
      <c r="A9" t="s">
        <v>10</v>
      </c>
      <c r="B9" s="4">
        <v>12264.15</v>
      </c>
      <c r="C9" s="4">
        <v>2743.01</v>
      </c>
      <c r="D9" s="4">
        <f>252.1+509.17+2400+7147</f>
        <v>10308.27</v>
      </c>
      <c r="E9" s="26">
        <f t="shared" si="0"/>
        <v>25315.43</v>
      </c>
    </row>
    <row r="10" spans="1:5" ht="12">
      <c r="A10" t="s">
        <v>11</v>
      </c>
      <c r="B10" s="4">
        <v>15034.31</v>
      </c>
      <c r="C10" s="4">
        <v>46869.02</v>
      </c>
      <c r="D10" s="4">
        <f>368.5+635.4+46</f>
        <v>1049.9</v>
      </c>
      <c r="E10" s="26">
        <f t="shared" si="0"/>
        <v>62953.229999999996</v>
      </c>
    </row>
    <row r="11" spans="1:6" ht="12">
      <c r="A11" t="s">
        <v>12</v>
      </c>
      <c r="B11" s="4">
        <v>14740.2</v>
      </c>
      <c r="C11" s="4">
        <v>3718.44</v>
      </c>
      <c r="D11" s="4">
        <f>40+78+480+13680</f>
        <v>14278</v>
      </c>
      <c r="E11" s="26">
        <f t="shared" si="0"/>
        <v>32736.64</v>
      </c>
      <c r="F11" s="29"/>
    </row>
    <row r="12" spans="1:5" ht="12">
      <c r="A12" t="s">
        <v>13</v>
      </c>
      <c r="B12" s="4">
        <f>31087.67-1700</f>
        <v>29387.67</v>
      </c>
      <c r="C12" s="4">
        <v>17990.62</v>
      </c>
      <c r="D12" s="4">
        <f>20.4+8.9+550+1010.8+1900+3675+346+1199.4+207+298+199.9+1344.8</f>
        <v>10760.199999999999</v>
      </c>
      <c r="E12" s="26">
        <f t="shared" si="0"/>
        <v>58138.48999999999</v>
      </c>
    </row>
    <row r="13" spans="1:5" ht="12">
      <c r="A13" t="s">
        <v>14</v>
      </c>
      <c r="B13" s="4">
        <v>25664</v>
      </c>
      <c r="C13" s="4">
        <v>6904.51</v>
      </c>
      <c r="D13" s="4">
        <f>170+69+1550+759+225+399.8+221+150</f>
        <v>3543.8</v>
      </c>
      <c r="E13" s="26">
        <f t="shared" si="0"/>
        <v>36112.310000000005</v>
      </c>
    </row>
    <row r="14" spans="1:5" ht="20.25" customHeight="1">
      <c r="A14" t="s">
        <v>15</v>
      </c>
      <c r="B14" s="4">
        <f>SUM(B2:B13)</f>
        <v>322661.07999999996</v>
      </c>
      <c r="C14" s="4">
        <f>SUM(C2:C13)</f>
        <v>253541.5</v>
      </c>
      <c r="D14" s="4">
        <f>SUM(D2:D13)</f>
        <v>85508.28</v>
      </c>
      <c r="E14" s="26">
        <f>B14+C14+D14</f>
        <v>661710.86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HP</cp:lastModifiedBy>
  <cp:lastPrinted>2018-01-22T09:18:14Z</cp:lastPrinted>
  <dcterms:created xsi:type="dcterms:W3CDTF">2014-01-08T19:06:29Z</dcterms:created>
  <dcterms:modified xsi:type="dcterms:W3CDTF">2024-01-30T10:59:14Z</dcterms:modified>
  <cp:category/>
  <cp:version/>
  <cp:contentType/>
  <cp:contentStatus/>
</cp:coreProperties>
</file>