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60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<sst xmlns="http://schemas.openxmlformats.org/spreadsheetml/2006/main" count="214" uniqueCount="184">
  <si>
    <t>№</t>
  </si>
  <si>
    <t>в %</t>
  </si>
  <si>
    <t>Калиновская Матющенко 02 Олейникова 03</t>
  </si>
  <si>
    <t xml:space="preserve"> </t>
  </si>
  <si>
    <t>январь</t>
  </si>
  <si>
    <t>февраль</t>
  </si>
  <si>
    <t xml:space="preserve">март </t>
  </si>
  <si>
    <t>апрель</t>
  </si>
  <si>
    <t>май</t>
  </si>
  <si>
    <t xml:space="preserve"> июнь</t>
  </si>
  <si>
    <t>июль</t>
  </si>
  <si>
    <t>август</t>
  </si>
  <si>
    <t>сентябрь</t>
  </si>
  <si>
    <t>октябрь</t>
  </si>
  <si>
    <t xml:space="preserve">ноябрь </t>
  </si>
  <si>
    <t>декабрь</t>
  </si>
  <si>
    <t>Итого</t>
  </si>
  <si>
    <t>дети</t>
  </si>
  <si>
    <t>взрослые</t>
  </si>
  <si>
    <t>прочее</t>
  </si>
  <si>
    <t>Всього витрат фонду (грн)</t>
  </si>
  <si>
    <t>Звіт про витрати</t>
  </si>
  <si>
    <t>Оплата за водопостачання та водовiдведення НIКОПОЛЬВОДОКАНАЛ</t>
  </si>
  <si>
    <t>Оплата за надання послуг з утримання будинку та прибудинкової територiї   ТОВ КК "Домком Нікополь"</t>
  </si>
  <si>
    <t>Стаття витрат</t>
  </si>
  <si>
    <t>Перерахована сума, гривень</t>
  </si>
  <si>
    <t>Витрат за програмою "Допомога хворим дітям"</t>
  </si>
  <si>
    <t>Інші види допомоги</t>
  </si>
  <si>
    <t>Інші програмні витрати</t>
  </si>
  <si>
    <t>Адміністративні витрати фонду</t>
  </si>
  <si>
    <t>Купівля лікарських препаратів</t>
  </si>
  <si>
    <t>Єдиний соціальний внесок</t>
  </si>
  <si>
    <t>Банківські послуги</t>
  </si>
  <si>
    <t>Комунальні послуги (за вивезення твердих побутових відходів)</t>
  </si>
  <si>
    <t>Поштові витрати</t>
  </si>
  <si>
    <t>за період з 01.01.2020 по 31.12.2020</t>
  </si>
  <si>
    <t xml:space="preserve">Витрат за програмою "Допомога онкохворим  дітям"  </t>
  </si>
  <si>
    <t xml:space="preserve">Витрат за програмою "Допомога онкохворим  дорослим" Проєкт «Валерія Help» </t>
  </si>
  <si>
    <t>Витрат за програмою "Допомога хворим дорослим. Проєкт« Валерія Help »</t>
  </si>
  <si>
    <t>Допомога Нікопольській міській дитячій лікарні</t>
  </si>
  <si>
    <t>Оплата за надання надійних засобів ЕЦП, в т.ч. для генерації особистих і відкритих ключів та  формування і подання електронної заяви на  отримання 6 посилених сертифікатів  строком на 1 рік.</t>
  </si>
  <si>
    <t>Відшкодування орендодавцю суми за комунальні послуги (газ, електроенергія)</t>
  </si>
  <si>
    <t>Болжеларська Світлана</t>
  </si>
  <si>
    <t xml:space="preserve">Допомога відділенню гемодіалізу Нікопольської центральної районної лікарні (купівля мисок з декором та кришкою, боксів універсальних з ручками)  </t>
  </si>
  <si>
    <t>Оплата за вогнегасник ВВК-2</t>
  </si>
  <si>
    <t>ОПЛАТА ЗА ВАГИ  МЕДИЧНI ТВ1- 200 БЕЗ РОСТОМIРА</t>
  </si>
  <si>
    <t>Проект "Кімната для Михайла" (купівля будівельних матеріалів)</t>
  </si>
  <si>
    <t xml:space="preserve">Оплата за навчання на програмi Управлiння благодiйними фондами згiдно Договору надання освiтнiх послуг № УБФ/22 вiд 10.10.2019р </t>
  </si>
  <si>
    <t>Титов Сергій</t>
  </si>
  <si>
    <t>Оплата за динамометр медичний ДК-25</t>
  </si>
  <si>
    <t>Витрати по організації і проведенню благодійного концерту  (друк поліграфічної продукції (запрошення на концерт), подарунки підопічним і помічникам фонду</t>
  </si>
  <si>
    <t>Оплата подарунка (смартфон VIVO Y 15 4/64 GB Agua Blue) для підопічної фонду Дорошенко Наталі з лейкозом.</t>
  </si>
  <si>
    <t>Допомога людям, мешканцям зимового пункту обігріву напередодні Різдва Христова при підтримці Райва Кристоф Гайнрих Карл-Мари (купівля продуктів харчування та засобів гігієни)</t>
  </si>
  <si>
    <t>Допомога Нікопольському центру первинної медико-санітарної допомоги  НМР (купівля лікарських препаратів)</t>
  </si>
  <si>
    <t xml:space="preserve">Допомога інфекційному відділенню  Нікопольської міської лікарні №1  (придбання напалечних пульсоксиметрів, рідкого мила,  паперових рушників, прального порошку, металопластикових стулок, склопакета  для удосконалення  конструкції вікон.)  </t>
  </si>
  <si>
    <t>Придбання  меблів (столи тумби)  в офіс</t>
  </si>
  <si>
    <t>"Боротьба з пандемією" придбання лікарських препаратів для розподілу між соціально-незахищених верств населення</t>
  </si>
  <si>
    <t>Допомога багатодітній родині на прохання Нікопольського Центру соціальних служб для сім'ї, дітей та молоді (купівля молочної суміші)</t>
  </si>
  <si>
    <t>Допомога бійцям ООС (купівля лікарських препаратів)</t>
  </si>
  <si>
    <t>Допомога лежачій літній жінці у придбанні підгузників</t>
  </si>
  <si>
    <t>Оплата за кондицiонер в офіс</t>
  </si>
  <si>
    <t>Витрати по проведенню благодійного майстер - класу з розпису екоторбинок (придбання антисептичного засобу)</t>
  </si>
  <si>
    <t>ОПЛАТА ЗА  БАНЕР 2000*1660ММ для проведення Благодійного заходу на підтримку Єви Носик</t>
  </si>
  <si>
    <t>Придбання подовжувача на 2 розетки для  господарських потреб</t>
  </si>
  <si>
    <t>Допомога багатодітній родині Болдир (фінансова допомога)</t>
  </si>
  <si>
    <t>Орендна плата за 2020 рік</t>
  </si>
  <si>
    <t>Допомога Нікопольському медичному спеціалізованому центру медико-соціальної реабілітації дітей  (придбання  рулонного  газону  для благоустрою території)</t>
  </si>
  <si>
    <t>Оплата за дверi глухi рентгенозахиснi 900*2000</t>
  </si>
  <si>
    <t>Допомога сім'ям вимушених переселенців з тимчасово окупованих територій (фінансова допомога,купівля лікарських препаратів)</t>
  </si>
  <si>
    <t>Допомога госпітальній базі COVID -19  Нікопольської міської лікарні №4 (купівля ковдр, матраца , підгузників, канцтоварів, мінеральної води, фруктів, солодощів для пацієнтів і медперсоналу)</t>
  </si>
  <si>
    <t>Цiльова фінансова благодiйна допомога  підопічній  фонду Дорошенко Наталі для оплати підготовчих курсів в медичному коледжі</t>
  </si>
  <si>
    <t>Оплата за сушильну машину, аксесуари для прасок</t>
  </si>
  <si>
    <t>ОПЛАТА ЗА  БАНЕР 1000*800 ММ ЛАМIНОВАНИЙ</t>
  </si>
  <si>
    <t>Допомога  Ворсоноховій Анфісі (нецiльова фінансова благодiйна допомога у зв'язку із похованням  матері)</t>
  </si>
  <si>
    <t>Допомога  Ворсоноховій Анфісі (оплата за надання послуг з поховання матері)</t>
  </si>
  <si>
    <t>Оплата за послуги хостингу та домену на рік Сайт #7294  (nikopolkids.org)</t>
  </si>
  <si>
    <t xml:space="preserve">Відшкодування орендодавцю суми за послуги по обслуговуванню приміщення </t>
  </si>
  <si>
    <t>Витрати по залученню пожертвувань (придбання благодійних скриньок для пожертв)</t>
  </si>
  <si>
    <t xml:space="preserve">Будівельні матеріали  для встановлення дверей в офісному приміщенні </t>
  </si>
  <si>
    <t xml:space="preserve">Заробітна плата керівника проєктів (включаючи НДФЛ,військовий збір) </t>
  </si>
  <si>
    <t xml:space="preserve">Заробітна плата бухгалтера (включаючи НДФЛ,військовий збір) </t>
  </si>
  <si>
    <t>Благодійний внесок на Dobro ua</t>
  </si>
  <si>
    <t>Допомога молодій людині з інвалідністю  (фінансова допомога)</t>
  </si>
  <si>
    <t xml:space="preserve">Дорошенко Наталя </t>
  </si>
  <si>
    <t xml:space="preserve">Погукаєва Марія </t>
  </si>
  <si>
    <t xml:space="preserve">Мудра Лідія </t>
  </si>
  <si>
    <t xml:space="preserve">Мельник Тетяна </t>
  </si>
  <si>
    <t xml:space="preserve">Сьомін Сергій </t>
  </si>
  <si>
    <t>Гайдова Карина</t>
  </si>
  <si>
    <t xml:space="preserve">Володін Денис </t>
  </si>
  <si>
    <t xml:space="preserve">Ільницька  Вікторія </t>
  </si>
  <si>
    <t xml:space="preserve">Чугункіна Тетяна </t>
  </si>
  <si>
    <t xml:space="preserve"> Шевченка Олександр </t>
  </si>
  <si>
    <t xml:space="preserve">Попова Ольга </t>
  </si>
  <si>
    <t xml:space="preserve">Прудкова Світлана </t>
  </si>
  <si>
    <t xml:space="preserve">Шершень Юлія </t>
  </si>
  <si>
    <t xml:space="preserve">Пащенко  Дінаїда </t>
  </si>
  <si>
    <t>Крiпак Лілія</t>
  </si>
  <si>
    <t>Мацепуро Анжела</t>
  </si>
  <si>
    <t xml:space="preserve">Позняковський  Олександр </t>
  </si>
  <si>
    <t>Сивогривова Валентина</t>
  </si>
  <si>
    <t xml:space="preserve">Персиста Лілія  </t>
  </si>
  <si>
    <t>Ізмайлова Наталя</t>
  </si>
  <si>
    <t xml:space="preserve">Остапенко Катерина </t>
  </si>
  <si>
    <t xml:space="preserve">Ротар Iнна </t>
  </si>
  <si>
    <t xml:space="preserve">Третяк Вiра </t>
  </si>
  <si>
    <t xml:space="preserve">Філатова Вікторія </t>
  </si>
  <si>
    <t xml:space="preserve">Баранова Валентина </t>
  </si>
  <si>
    <t>Гойло Валентина</t>
  </si>
  <si>
    <t xml:space="preserve">Дорош Наталя </t>
  </si>
  <si>
    <t xml:space="preserve">Василець Данііл </t>
  </si>
  <si>
    <t>Білецькі Максим і Георгій</t>
  </si>
  <si>
    <t xml:space="preserve">Герасименко Єгор </t>
  </si>
  <si>
    <t xml:space="preserve">Огли Оксана </t>
  </si>
  <si>
    <t xml:space="preserve"> Пацюк Софiя </t>
  </si>
  <si>
    <t xml:space="preserve">Дудар Олексій  </t>
  </si>
  <si>
    <t xml:space="preserve">Безрідний Артем </t>
  </si>
  <si>
    <t xml:space="preserve">Лозова Єва </t>
  </si>
  <si>
    <t xml:space="preserve">Гайдаманчук Златослава </t>
  </si>
  <si>
    <t xml:space="preserve">Заїкіна Поліна </t>
  </si>
  <si>
    <t xml:space="preserve">Малюгін Богдан </t>
  </si>
  <si>
    <t xml:space="preserve">Зернова Станіслава </t>
  </si>
  <si>
    <t>Миролюбова Поліна</t>
  </si>
  <si>
    <t>Пахомов Максим</t>
  </si>
  <si>
    <t xml:space="preserve">Макуховський В'ячеслав </t>
  </si>
  <si>
    <t xml:space="preserve">Кірьякулова Олександра </t>
  </si>
  <si>
    <t xml:space="preserve">Животов Дмитро </t>
  </si>
  <si>
    <t>Горобець Сергій</t>
  </si>
  <si>
    <t xml:space="preserve">Бистров Кирил </t>
  </si>
  <si>
    <t xml:space="preserve">Зайченко Данiель </t>
  </si>
  <si>
    <t>Болжеларський Антон</t>
  </si>
  <si>
    <t xml:space="preserve">Воловик Артур </t>
  </si>
  <si>
    <t xml:space="preserve">Заєва Ліза </t>
  </si>
  <si>
    <t xml:space="preserve">Кириленко Андрiй </t>
  </si>
  <si>
    <t>Грошева Єлизавета</t>
  </si>
  <si>
    <t xml:space="preserve">Пилипенко Кирило </t>
  </si>
  <si>
    <t xml:space="preserve">Архіпова Яна </t>
  </si>
  <si>
    <t xml:space="preserve">Плехно Богдан </t>
  </si>
  <si>
    <t xml:space="preserve">Науменко Лев </t>
  </si>
  <si>
    <t>Рвачева Вікторія</t>
  </si>
  <si>
    <t>Бабич Адам</t>
  </si>
  <si>
    <t xml:space="preserve">Рибалка Анастасія </t>
  </si>
  <si>
    <t xml:space="preserve">Фоміна Любов </t>
  </si>
  <si>
    <t xml:space="preserve">Лагутін Андрій </t>
  </si>
  <si>
    <t>Бистрова Марія</t>
  </si>
  <si>
    <t xml:space="preserve">Копилов Данило </t>
  </si>
  <si>
    <t xml:space="preserve">Шубіна Діана </t>
  </si>
  <si>
    <t xml:space="preserve">Сопронюк Милана </t>
  </si>
  <si>
    <t>Койнак Альбіна</t>
  </si>
  <si>
    <t xml:space="preserve">Зиков Микита </t>
  </si>
  <si>
    <t>Солодовніков  Олександр</t>
  </si>
  <si>
    <t xml:space="preserve">Теличко Тетяна </t>
  </si>
  <si>
    <t xml:space="preserve">Дрок Олександр </t>
  </si>
  <si>
    <t xml:space="preserve">Сидоренко Олександр </t>
  </si>
  <si>
    <t>Акимов Максим</t>
  </si>
  <si>
    <t>Фоміна Валерія</t>
  </si>
  <si>
    <t xml:space="preserve">Чорна Юлія </t>
  </si>
  <si>
    <t xml:space="preserve">Степанов Василь </t>
  </si>
  <si>
    <t xml:space="preserve">Швидка Галина  </t>
  </si>
  <si>
    <t>Шлафман Геннадій</t>
  </si>
  <si>
    <t xml:space="preserve">Селезнев Павел </t>
  </si>
  <si>
    <t>Базима Катерина</t>
  </si>
  <si>
    <t xml:space="preserve">Казарова Тетяна </t>
  </si>
  <si>
    <t xml:space="preserve">Косенко Олександр </t>
  </si>
  <si>
    <t xml:space="preserve">Лещенко Ірина </t>
  </si>
  <si>
    <t xml:space="preserve">Перехода Галина </t>
  </si>
  <si>
    <t xml:space="preserve">Івасенко Інна </t>
  </si>
  <si>
    <t xml:space="preserve">Павлюк Людмила </t>
  </si>
  <si>
    <t xml:space="preserve">Халіков Євген </t>
  </si>
  <si>
    <t>Карнаушенко Віта</t>
  </si>
  <si>
    <t>Албакова Мадіна</t>
  </si>
  <si>
    <t xml:space="preserve">Поп Михайло </t>
  </si>
  <si>
    <t xml:space="preserve">Трубіна Наталя </t>
  </si>
  <si>
    <t>Есаулов Богдан</t>
  </si>
  <si>
    <t xml:space="preserve">Зуєв Артем </t>
  </si>
  <si>
    <t>Корольова Наталія</t>
  </si>
  <si>
    <t>Протченко Олександра</t>
  </si>
  <si>
    <t xml:space="preserve">Василенко Олена </t>
  </si>
  <si>
    <t xml:space="preserve">Білецька Марина </t>
  </si>
  <si>
    <t xml:space="preserve">Сопронюк Олена </t>
  </si>
  <si>
    <t xml:space="preserve">Копилова Єлизавета </t>
  </si>
  <si>
    <t>Сабiтова Вiкторiя</t>
  </si>
  <si>
    <t xml:space="preserve">Георгян Олена </t>
  </si>
  <si>
    <t xml:space="preserve">Братченко Ольга 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</si>
</sst>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%"/>
    <numFmt numFmtId="188" formatCode="0.0%"/>
  </numFmts>
  <fonts count="53">
    <font>
      <sz val="10"/>
      <name val="Arial Cyr"/>
      <family val="0"/>
    </font>
    <font>
      <b/>
      <sz val="13"/>
      <color indexed="8"/>
      <name val="Verdana"/>
      <family val="2"/>
    </font>
    <font>
      <sz val="8"/>
      <name val="Arial Cyr"/>
      <family val="0"/>
    </font>
    <font>
      <b/>
      <sz val="10"/>
      <color indexed="8"/>
      <name val="Verdana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name val="Verdana"/>
      <family val="2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sz val="8"/>
      <name val="Arial"/>
      <family val="2"/>
    </font>
    <font>
      <b/>
      <sz val="9"/>
      <name val="Georgia"/>
      <family val="1"/>
    </font>
    <font>
      <sz val="9"/>
      <name val="Georgia"/>
      <family val="1"/>
    </font>
    <font>
      <sz val="11"/>
      <name val="Arial"/>
      <family val="2"/>
    </font>
    <font>
      <sz val="8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1D2129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2" fontId="0" fillId="0" borderId="0" xfId="0" applyNumberFormat="1" applyAlignment="1">
      <alignment/>
    </xf>
    <xf numFmtId="2" fontId="4" fillId="33" borderId="10" xfId="0" applyNumberFormat="1" applyFont="1" applyFill="1" applyBorder="1" applyAlignment="1">
      <alignment/>
    </xf>
    <xf numFmtId="2" fontId="4" fillId="34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5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wrapText="1"/>
    </xf>
    <xf numFmtId="0" fontId="11" fillId="0" borderId="0" xfId="0" applyFont="1" applyAlignment="1">
      <alignment/>
    </xf>
    <xf numFmtId="2" fontId="4" fillId="35" borderId="10" xfId="0" applyNumberFormat="1" applyFont="1" applyFill="1" applyBorder="1" applyAlignment="1">
      <alignment wrapText="1"/>
    </xf>
    <xf numFmtId="2" fontId="4" fillId="33" borderId="10" xfId="0" applyNumberFormat="1" applyFont="1" applyFill="1" applyBorder="1" applyAlignment="1">
      <alignment wrapText="1"/>
    </xf>
    <xf numFmtId="2" fontId="0" fillId="0" borderId="10" xfId="0" applyNumberFormat="1" applyBorder="1" applyAlignment="1">
      <alignment/>
    </xf>
    <xf numFmtId="0" fontId="0" fillId="36" borderId="10" xfId="0" applyFont="1" applyFill="1" applyBorder="1" applyAlignment="1">
      <alignment horizontal="left" wrapText="1"/>
    </xf>
    <xf numFmtId="0" fontId="2" fillId="36" borderId="10" xfId="0" applyFont="1" applyFill="1" applyBorder="1" applyAlignment="1">
      <alignment horizontal="left" wrapText="1"/>
    </xf>
    <xf numFmtId="0" fontId="0" fillId="36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left"/>
    </xf>
    <xf numFmtId="0" fontId="0" fillId="37" borderId="10" xfId="0" applyFont="1" applyFill="1" applyBorder="1" applyAlignment="1">
      <alignment horizontal="left" wrapText="1"/>
    </xf>
    <xf numFmtId="2" fontId="0" fillId="37" borderId="10" xfId="0" applyNumberFormat="1" applyFill="1" applyBorder="1" applyAlignment="1">
      <alignment/>
    </xf>
    <xf numFmtId="2" fontId="4" fillId="38" borderId="10" xfId="0" applyNumberFormat="1" applyFont="1" applyFill="1" applyBorder="1" applyAlignment="1">
      <alignment/>
    </xf>
    <xf numFmtId="0" fontId="8" fillId="37" borderId="10" xfId="0" applyFont="1" applyFill="1" applyBorder="1" applyAlignment="1">
      <alignment horizontal="left" wrapText="1"/>
    </xf>
    <xf numFmtId="0" fontId="8" fillId="37" borderId="10" xfId="0" applyFont="1" applyFill="1" applyBorder="1" applyAlignment="1">
      <alignment vertical="top" wrapText="1"/>
    </xf>
    <xf numFmtId="0" fontId="0" fillId="37" borderId="10" xfId="0" applyFill="1" applyBorder="1" applyAlignment="1">
      <alignment vertical="top" wrapText="1"/>
    </xf>
    <xf numFmtId="0" fontId="0" fillId="0" borderId="12" xfId="0" applyFont="1" applyBorder="1" applyAlignment="1">
      <alignment horizontal="left"/>
    </xf>
    <xf numFmtId="0" fontId="0" fillId="0" borderId="13" xfId="0" applyFill="1" applyBorder="1" applyAlignment="1">
      <alignment/>
    </xf>
    <xf numFmtId="0" fontId="0" fillId="37" borderId="10" xfId="0" applyFont="1" applyFill="1" applyBorder="1" applyAlignment="1">
      <alignment horizontal="left"/>
    </xf>
    <xf numFmtId="2" fontId="0" fillId="0" borderId="14" xfId="0" applyNumberFormat="1" applyBorder="1" applyAlignment="1">
      <alignment/>
    </xf>
    <xf numFmtId="2" fontId="0" fillId="0" borderId="0" xfId="0" applyNumberFormat="1" applyFont="1" applyAlignment="1">
      <alignment/>
    </xf>
    <xf numFmtId="0" fontId="0" fillId="38" borderId="0" xfId="0" applyFill="1" applyAlignment="1">
      <alignment/>
    </xf>
    <xf numFmtId="2" fontId="0" fillId="38" borderId="0" xfId="0" applyNumberFormat="1" applyFill="1" applyAlignment="1">
      <alignment/>
    </xf>
    <xf numFmtId="2" fontId="0" fillId="39" borderId="0" xfId="0" applyNumberFormat="1" applyFill="1" applyAlignment="1">
      <alignment/>
    </xf>
    <xf numFmtId="0" fontId="0" fillId="37" borderId="10" xfId="0" applyFont="1" applyFill="1" applyBorder="1" applyAlignment="1">
      <alignment vertical="top" wrapText="1"/>
    </xf>
    <xf numFmtId="0" fontId="0" fillId="37" borderId="0" xfId="0" applyFill="1" applyAlignment="1">
      <alignment/>
    </xf>
    <xf numFmtId="2" fontId="4" fillId="33" borderId="13" xfId="0" applyNumberFormat="1" applyFont="1" applyFill="1" applyBorder="1" applyAlignment="1">
      <alignment/>
    </xf>
    <xf numFmtId="0" fontId="7" fillId="0" borderId="10" xfId="0" applyFont="1" applyBorder="1" applyAlignment="1">
      <alignment horizontal="center"/>
    </xf>
    <xf numFmtId="2" fontId="4" fillId="17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 wrapText="1"/>
    </xf>
    <xf numFmtId="0" fontId="2" fillId="37" borderId="10" xfId="0" applyFont="1" applyFill="1" applyBorder="1" applyAlignment="1">
      <alignment horizontal="left" wrapText="1"/>
    </xf>
    <xf numFmtId="0" fontId="0" fillId="37" borderId="10" xfId="0" applyFill="1" applyBorder="1" applyAlignment="1">
      <alignment wrapText="1"/>
    </xf>
    <xf numFmtId="0" fontId="2" fillId="37" borderId="10" xfId="0" applyFont="1" applyFill="1" applyBorder="1" applyAlignment="1">
      <alignment wrapText="1"/>
    </xf>
    <xf numFmtId="2" fontId="13" fillId="37" borderId="10" xfId="0" applyNumberFormat="1" applyFont="1" applyFill="1" applyBorder="1" applyAlignment="1">
      <alignment horizontal="right"/>
    </xf>
    <xf numFmtId="0" fontId="8" fillId="37" borderId="10" xfId="0" applyFont="1" applyFill="1" applyBorder="1" applyAlignment="1">
      <alignment wrapText="1"/>
    </xf>
    <xf numFmtId="0" fontId="8" fillId="37" borderId="10" xfId="0" applyFont="1" applyFill="1" applyBorder="1" applyAlignment="1">
      <alignment horizontal="left" vertical="top" wrapText="1"/>
    </xf>
    <xf numFmtId="0" fontId="0" fillId="37" borderId="10" xfId="0" applyFill="1" applyBorder="1" applyAlignment="1">
      <alignment/>
    </xf>
    <xf numFmtId="0" fontId="52" fillId="37" borderId="10" xfId="0" applyFont="1" applyFill="1" applyBorder="1" applyAlignment="1">
      <alignment wrapText="1"/>
    </xf>
    <xf numFmtId="0" fontId="6" fillId="37" borderId="10" xfId="0" applyFont="1" applyFill="1" applyBorder="1" applyAlignment="1">
      <alignment wrapText="1"/>
    </xf>
    <xf numFmtId="0" fontId="2" fillId="37" borderId="10" xfId="0" applyFont="1" applyFill="1" applyBorder="1" applyAlignment="1">
      <alignment vertical="top" wrapText="1"/>
    </xf>
    <xf numFmtId="0" fontId="14" fillId="37" borderId="10" xfId="0" applyFont="1" applyFill="1" applyBorder="1" applyAlignment="1">
      <alignment horizontal="left" wrapText="1"/>
    </xf>
    <xf numFmtId="0" fontId="0" fillId="37" borderId="13" xfId="0" applyFill="1" applyBorder="1" applyAlignment="1">
      <alignment vertical="top" wrapText="1"/>
    </xf>
    <xf numFmtId="0" fontId="0" fillId="37" borderId="10" xfId="0" applyFill="1" applyBorder="1" applyAlignment="1">
      <alignment horizontal="left" wrapText="1"/>
    </xf>
    <xf numFmtId="2" fontId="4" fillId="38" borderId="10" xfId="0" applyNumberFormat="1" applyFont="1" applyFill="1" applyBorder="1" applyAlignment="1">
      <alignment horizontal="right"/>
    </xf>
    <xf numFmtId="0" fontId="0" fillId="37" borderId="10" xfId="0" applyNumberFormat="1" applyFont="1" applyFill="1" applyBorder="1" applyAlignment="1">
      <alignment/>
    </xf>
    <xf numFmtId="0" fontId="12" fillId="37" borderId="10" xfId="0" applyFont="1" applyFill="1" applyBorder="1" applyAlignment="1">
      <alignment wrapText="1"/>
    </xf>
    <xf numFmtId="0" fontId="15" fillId="37" borderId="10" xfId="0" applyFont="1" applyFill="1" applyBorder="1" applyAlignment="1">
      <alignment wrapText="1"/>
    </xf>
    <xf numFmtId="0" fontId="0" fillId="37" borderId="10" xfId="0" applyFont="1" applyFill="1" applyBorder="1" applyAlignment="1">
      <alignment wrapText="1"/>
    </xf>
    <xf numFmtId="0" fontId="0" fillId="40" borderId="10" xfId="0" applyFont="1" applyFill="1" applyBorder="1" applyAlignment="1">
      <alignment vertical="top" wrapText="1"/>
    </xf>
    <xf numFmtId="0" fontId="16" fillId="40" borderId="10" xfId="0" applyFont="1" applyFill="1" applyBorder="1" applyAlignment="1">
      <alignment horizontal="left" wrapText="1"/>
    </xf>
    <xf numFmtId="0" fontId="2" fillId="37" borderId="0" xfId="0" applyFont="1" applyFill="1" applyBorder="1" applyAlignment="1">
      <alignment vertical="top" wrapText="1"/>
    </xf>
    <xf numFmtId="2" fontId="0" fillId="37" borderId="0" xfId="0" applyNumberFormat="1" applyFill="1" applyAlignment="1">
      <alignment/>
    </xf>
    <xf numFmtId="10" fontId="0" fillId="37" borderId="0" xfId="0" applyNumberFormat="1" applyFill="1" applyAlignment="1">
      <alignment/>
    </xf>
    <xf numFmtId="0" fontId="2" fillId="0" borderId="13" xfId="0" applyFont="1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 wrapText="1"/>
    </xf>
    <xf numFmtId="0" fontId="8" fillId="37" borderId="13" xfId="0" applyFont="1" applyFill="1" applyBorder="1" applyAlignment="1">
      <alignment vertical="top" wrapText="1"/>
    </xf>
    <xf numFmtId="9" fontId="4" fillId="34" borderId="12" xfId="0" applyNumberFormat="1" applyFont="1" applyFill="1" applyBorder="1" applyAlignment="1">
      <alignment/>
    </xf>
    <xf numFmtId="9" fontId="4" fillId="38" borderId="12" xfId="0" applyNumberFormat="1" applyFont="1" applyFill="1" applyBorder="1" applyAlignment="1">
      <alignment/>
    </xf>
    <xf numFmtId="0" fontId="5" fillId="0" borderId="12" xfId="0" applyFont="1" applyBorder="1" applyAlignment="1">
      <alignment/>
    </xf>
    <xf numFmtId="10" fontId="5" fillId="0" borderId="12" xfId="0" applyNumberFormat="1" applyFont="1" applyBorder="1" applyAlignment="1">
      <alignment/>
    </xf>
    <xf numFmtId="10" fontId="5" fillId="38" borderId="12" xfId="0" applyNumberFormat="1" applyFont="1" applyFill="1" applyBorder="1" applyAlignment="1">
      <alignment/>
    </xf>
    <xf numFmtId="10" fontId="5" fillId="37" borderId="12" xfId="0" applyNumberFormat="1" applyFont="1" applyFill="1" applyBorder="1" applyAlignment="1">
      <alignment/>
    </xf>
    <xf numFmtId="10" fontId="5" fillId="33" borderId="12" xfId="0" applyNumberFormat="1" applyFont="1" applyFill="1" applyBorder="1" applyAlignment="1">
      <alignment/>
    </xf>
    <xf numFmtId="10" fontId="5" fillId="17" borderId="12" xfId="0" applyNumberFormat="1" applyFont="1" applyFill="1" applyBorder="1" applyAlignment="1">
      <alignment/>
    </xf>
    <xf numFmtId="10" fontId="5" fillId="0" borderId="14" xfId="0" applyNumberFormat="1" applyFont="1" applyBorder="1" applyAlignment="1">
      <alignment/>
    </xf>
    <xf numFmtId="10" fontId="5" fillId="33" borderId="14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11" fillId="0" borderId="11" xfId="0" applyFont="1" applyBorder="1" applyAlignment="1">
      <alignment/>
    </xf>
    <xf numFmtId="0" fontId="7" fillId="17" borderId="12" xfId="0" applyFont="1" applyFill="1" applyBorder="1" applyAlignment="1">
      <alignment horizontal="left" wrapText="1"/>
    </xf>
    <xf numFmtId="0" fontId="7" fillId="17" borderId="15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34" borderId="12" xfId="0" applyFont="1" applyFill="1" applyBorder="1" applyAlignment="1">
      <alignment horizontal="left"/>
    </xf>
    <xf numFmtId="0" fontId="3" fillId="34" borderId="15" xfId="0" applyFont="1" applyFill="1" applyBorder="1" applyAlignment="1">
      <alignment horizontal="left"/>
    </xf>
    <xf numFmtId="0" fontId="7" fillId="17" borderId="12" xfId="0" applyFont="1" applyFill="1" applyBorder="1" applyAlignment="1">
      <alignment horizontal="left"/>
    </xf>
    <xf numFmtId="0" fontId="7" fillId="17" borderId="15" xfId="0" applyFont="1" applyFill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2"/>
  <sheetViews>
    <sheetView tabSelected="1" workbookViewId="0" topLeftCell="A1">
      <selection activeCell="B112" sqref="B112"/>
    </sheetView>
  </sheetViews>
  <sheetFormatPr defaultColWidth="9.00390625" defaultRowHeight="12.75"/>
  <cols>
    <col min="1" max="1" width="4.00390625" style="0" customWidth="1"/>
    <col min="2" max="2" width="57.25390625" style="0" customWidth="1"/>
    <col min="3" max="3" width="16.25390625" style="0" customWidth="1"/>
    <col min="4" max="4" width="9.875" style="0" customWidth="1"/>
    <col min="6" max="6" width="11.75390625" style="0" customWidth="1"/>
    <col min="7" max="7" width="10.75390625" style="0" customWidth="1"/>
    <col min="8" max="8" width="9.50390625" style="0" bestFit="1" customWidth="1"/>
    <col min="12" max="12" width="10.125" style="0" customWidth="1"/>
  </cols>
  <sheetData>
    <row r="1" spans="1:5" ht="16.5">
      <c r="A1" s="90" t="s">
        <v>21</v>
      </c>
      <c r="B1" s="90"/>
      <c r="C1" s="90"/>
      <c r="D1" s="90"/>
      <c r="E1" s="83"/>
    </row>
    <row r="2" spans="1:5" ht="21.75" customHeight="1">
      <c r="A2" s="90" t="s">
        <v>35</v>
      </c>
      <c r="B2" s="90"/>
      <c r="C2" s="90"/>
      <c r="D2" s="90"/>
      <c r="E2" s="83"/>
    </row>
    <row r="3" spans="1:7" ht="21" customHeight="1">
      <c r="A3" s="91" t="s">
        <v>20</v>
      </c>
      <c r="B3" s="92"/>
      <c r="C3" s="6">
        <f>C35+C80+C116+C123+C154+C7+C143+C4</f>
        <v>966772.4199999999</v>
      </c>
      <c r="D3" s="73">
        <v>1</v>
      </c>
      <c r="E3" s="83"/>
      <c r="G3" s="10"/>
    </row>
    <row r="4" spans="1:7" ht="27.75" customHeight="1">
      <c r="A4" s="88" t="s">
        <v>36</v>
      </c>
      <c r="B4" s="88"/>
      <c r="C4" s="58">
        <f>SUM(C6:C6)</f>
        <v>47277.57000000001</v>
      </c>
      <c r="D4" s="74">
        <f>C4/C3</f>
        <v>0.048902481103050094</v>
      </c>
      <c r="E4" s="83"/>
      <c r="F4" s="4"/>
      <c r="G4" s="10"/>
    </row>
    <row r="5" spans="1:7" ht="27.75" customHeight="1">
      <c r="A5" s="2" t="s">
        <v>0</v>
      </c>
      <c r="B5" s="2" t="s">
        <v>24</v>
      </c>
      <c r="C5" s="3" t="s">
        <v>25</v>
      </c>
      <c r="D5" s="75" t="s">
        <v>1</v>
      </c>
      <c r="E5" s="83"/>
      <c r="F5" s="4"/>
      <c r="G5" s="10"/>
    </row>
    <row r="6" spans="1:7" ht="27.75" customHeight="1">
      <c r="A6" s="2">
        <v>1</v>
      </c>
      <c r="B6" s="51" t="s">
        <v>83</v>
      </c>
      <c r="C6" s="3">
        <f>1137.9+2046.26+1641.45+6171.76+3784.1+6256.47+3046.4+8070.68+211.7+431.8+2900+645.25+10933.8</f>
        <v>47277.57000000001</v>
      </c>
      <c r="D6" s="76">
        <f>C6/C4</f>
        <v>1</v>
      </c>
      <c r="E6" s="83"/>
      <c r="G6" s="10"/>
    </row>
    <row r="7" spans="1:7" ht="32.25" customHeight="1">
      <c r="A7" s="88" t="s">
        <v>37</v>
      </c>
      <c r="B7" s="88"/>
      <c r="C7" s="26">
        <f>SUM(C9:C34)</f>
        <v>103058.59000000001</v>
      </c>
      <c r="D7" s="77">
        <f>C7/C3</f>
        <v>0.10660067236920145</v>
      </c>
      <c r="E7" s="83"/>
      <c r="G7" t="s">
        <v>3</v>
      </c>
    </row>
    <row r="8" spans="1:5" ht="25.5" customHeight="1">
      <c r="A8" s="2" t="s">
        <v>0</v>
      </c>
      <c r="B8" s="2" t="s">
        <v>24</v>
      </c>
      <c r="C8" s="3" t="s">
        <v>25</v>
      </c>
      <c r="D8" s="75" t="s">
        <v>1</v>
      </c>
      <c r="E8" s="83"/>
    </row>
    <row r="9" spans="1:5" ht="25.5" customHeight="1">
      <c r="A9" s="23">
        <v>1</v>
      </c>
      <c r="B9" s="29" t="s">
        <v>84</v>
      </c>
      <c r="C9" s="18">
        <f>3250+791.3+2300+2137.2+2124+2151.22+2134.4+534.28</f>
        <v>15422.4</v>
      </c>
      <c r="D9" s="76">
        <f>C9/C7</f>
        <v>0.14964691443964057</v>
      </c>
      <c r="E9" s="83"/>
    </row>
    <row r="10" spans="1:5" ht="25.5" customHeight="1">
      <c r="A10" s="23">
        <f>A9+1</f>
        <v>2</v>
      </c>
      <c r="B10" s="27" t="s">
        <v>85</v>
      </c>
      <c r="C10" s="18">
        <f>1490.4+840+732.6+732.6+758.4+720.9+721.9+709.57+709+745.82+723</f>
        <v>8884.189999999999</v>
      </c>
      <c r="D10" s="76">
        <f>C10/C7</f>
        <v>0.08620523529382652</v>
      </c>
      <c r="E10" s="83"/>
    </row>
    <row r="11" spans="1:5" ht="25.5" customHeight="1">
      <c r="A11" s="23">
        <f aca="true" t="shared" si="0" ref="A11:A34">A10+1</f>
        <v>3</v>
      </c>
      <c r="B11" s="27" t="s">
        <v>86</v>
      </c>
      <c r="C11" s="18">
        <f>2900+4802.9</f>
        <v>7702.9</v>
      </c>
      <c r="D11" s="76">
        <f>C11/C7</f>
        <v>0.07474292050764521</v>
      </c>
      <c r="E11" s="83"/>
    </row>
    <row r="12" spans="1:5" ht="25.5" customHeight="1">
      <c r="A12" s="23">
        <f t="shared" si="0"/>
        <v>4</v>
      </c>
      <c r="B12" s="24" t="s">
        <v>87</v>
      </c>
      <c r="C12" s="18">
        <v>5831.4</v>
      </c>
      <c r="D12" s="76">
        <f>C12/C7</f>
        <v>0.05658334739491389</v>
      </c>
      <c r="E12" s="83"/>
    </row>
    <row r="13" spans="1:5" ht="25.5" customHeight="1">
      <c r="A13" s="23">
        <f t="shared" si="0"/>
        <v>5</v>
      </c>
      <c r="B13" s="27" t="s">
        <v>88</v>
      </c>
      <c r="C13" s="18">
        <f>2900+2272.3</f>
        <v>5172.3</v>
      </c>
      <c r="D13" s="76">
        <f>C13/C7</f>
        <v>0.050187956190745474</v>
      </c>
      <c r="E13" s="83"/>
    </row>
    <row r="14" spans="1:5" ht="20.25" customHeight="1">
      <c r="A14" s="23">
        <f t="shared" si="0"/>
        <v>6</v>
      </c>
      <c r="B14" s="27" t="s">
        <v>89</v>
      </c>
      <c r="C14" s="18">
        <f>1820+3300</f>
        <v>5120</v>
      </c>
      <c r="D14" s="78">
        <f>C14/C7</f>
        <v>0.0496804778718591</v>
      </c>
      <c r="E14" s="83"/>
    </row>
    <row r="15" spans="1:5" ht="25.5" customHeight="1">
      <c r="A15" s="23">
        <f t="shared" si="0"/>
        <v>7</v>
      </c>
      <c r="B15" s="27" t="s">
        <v>90</v>
      </c>
      <c r="C15" s="18">
        <v>4641.52</v>
      </c>
      <c r="D15" s="76">
        <f>C15/C7</f>
        <v>0.04503768196324052</v>
      </c>
      <c r="E15" s="83"/>
    </row>
    <row r="16" spans="1:5" ht="25.5" customHeight="1">
      <c r="A16" s="23">
        <f t="shared" si="0"/>
        <v>8</v>
      </c>
      <c r="B16" s="27" t="s">
        <v>91</v>
      </c>
      <c r="C16" s="18">
        <f>2108+1999.2</f>
        <v>4107.2</v>
      </c>
      <c r="D16" s="76">
        <f>C16/C7</f>
        <v>0.03985305834283197</v>
      </c>
      <c r="E16" s="83"/>
    </row>
    <row r="17" spans="1:5" ht="25.5" customHeight="1">
      <c r="A17" s="23">
        <f t="shared" si="0"/>
        <v>9</v>
      </c>
      <c r="B17" s="27" t="s">
        <v>92</v>
      </c>
      <c r="C17" s="18">
        <f>604+2033.9+463.3+500</f>
        <v>3601.2000000000003</v>
      </c>
      <c r="D17" s="76">
        <f>C17/C7</f>
        <v>0.034943229865652146</v>
      </c>
      <c r="E17" s="83"/>
    </row>
    <row r="18" spans="1:5" ht="25.5" customHeight="1">
      <c r="A18" s="23">
        <f t="shared" si="0"/>
        <v>10</v>
      </c>
      <c r="B18" s="27" t="s">
        <v>93</v>
      </c>
      <c r="C18" s="33">
        <v>3394.3</v>
      </c>
      <c r="D18" s="76">
        <f>C18/C7</f>
        <v>0.032935633992275656</v>
      </c>
      <c r="E18" s="83"/>
    </row>
    <row r="19" spans="1:5" ht="21" customHeight="1">
      <c r="A19" s="23">
        <f t="shared" si="0"/>
        <v>11</v>
      </c>
      <c r="B19" s="27" t="s">
        <v>94</v>
      </c>
      <c r="C19" s="18">
        <f>2251.73+810.4</f>
        <v>3062.13</v>
      </c>
      <c r="D19" s="76">
        <f>C19/C7</f>
        <v>0.029712515958155453</v>
      </c>
      <c r="E19" s="83"/>
    </row>
    <row r="20" spans="1:5" ht="25.5" customHeight="1">
      <c r="A20" s="23">
        <f t="shared" si="0"/>
        <v>12</v>
      </c>
      <c r="B20" s="27" t="s">
        <v>99</v>
      </c>
      <c r="C20" s="18">
        <v>2900</v>
      </c>
      <c r="D20" s="76">
        <f>C20/C7</f>
        <v>0.02813933316960769</v>
      </c>
      <c r="E20" s="83"/>
    </row>
    <row r="21" spans="1:5" ht="25.5" customHeight="1">
      <c r="A21" s="23">
        <f t="shared" si="0"/>
        <v>13</v>
      </c>
      <c r="B21" s="27" t="s">
        <v>95</v>
      </c>
      <c r="C21" s="18">
        <v>2900</v>
      </c>
      <c r="D21" s="76">
        <f>C21/C7</f>
        <v>0.02813933316960769</v>
      </c>
      <c r="E21" s="83"/>
    </row>
    <row r="22" spans="1:5" ht="25.5" customHeight="1">
      <c r="A22" s="23">
        <f t="shared" si="0"/>
        <v>14</v>
      </c>
      <c r="B22" s="46" t="s">
        <v>96</v>
      </c>
      <c r="C22" s="18">
        <v>2900</v>
      </c>
      <c r="D22" s="76">
        <f>C22/C7</f>
        <v>0.02813933316960769</v>
      </c>
      <c r="E22" s="83"/>
    </row>
    <row r="23" spans="1:5" ht="26.25" customHeight="1">
      <c r="A23" s="23">
        <f t="shared" si="0"/>
        <v>15</v>
      </c>
      <c r="B23" s="29" t="s">
        <v>97</v>
      </c>
      <c r="C23" s="18">
        <v>2900</v>
      </c>
      <c r="D23" s="76">
        <f>C23/C7</f>
        <v>0.02813933316960769</v>
      </c>
      <c r="E23" s="83"/>
    </row>
    <row r="24" spans="1:5" ht="21" customHeight="1">
      <c r="A24" s="23">
        <f t="shared" si="0"/>
        <v>16</v>
      </c>
      <c r="B24" s="27" t="s">
        <v>98</v>
      </c>
      <c r="C24" s="18">
        <v>2900</v>
      </c>
      <c r="D24" s="76">
        <f>C24/C7</f>
        <v>0.02813933316960769</v>
      </c>
      <c r="E24" s="83"/>
    </row>
    <row r="25" spans="1:5" ht="21" customHeight="1">
      <c r="A25" s="23">
        <f t="shared" si="0"/>
        <v>17</v>
      </c>
      <c r="B25" s="27" t="s">
        <v>100</v>
      </c>
      <c r="C25" s="18">
        <v>2900</v>
      </c>
      <c r="D25" s="76">
        <f>C25/C7</f>
        <v>0.02813933316960769</v>
      </c>
      <c r="E25" s="83"/>
    </row>
    <row r="26" spans="1:5" ht="21" customHeight="1">
      <c r="A26" s="23">
        <f t="shared" si="0"/>
        <v>18</v>
      </c>
      <c r="B26" s="27" t="s">
        <v>101</v>
      </c>
      <c r="C26" s="18">
        <v>2900</v>
      </c>
      <c r="D26" s="76">
        <f>C26/C7</f>
        <v>0.02813933316960769</v>
      </c>
      <c r="E26" s="83"/>
    </row>
    <row r="27" spans="1:5" ht="21" customHeight="1">
      <c r="A27" s="23">
        <f t="shared" si="0"/>
        <v>19</v>
      </c>
      <c r="B27" s="27" t="s">
        <v>102</v>
      </c>
      <c r="C27" s="18">
        <v>2900</v>
      </c>
      <c r="D27" s="76">
        <f>C27/C7</f>
        <v>0.02813933316960769</v>
      </c>
      <c r="E27" s="83"/>
    </row>
    <row r="28" spans="1:5" ht="21" customHeight="1">
      <c r="A28" s="23">
        <f t="shared" si="0"/>
        <v>20</v>
      </c>
      <c r="B28" s="27" t="s">
        <v>103</v>
      </c>
      <c r="C28" s="18">
        <v>2900</v>
      </c>
      <c r="D28" s="76">
        <f>C28/C7</f>
        <v>0.02813933316960769</v>
      </c>
      <c r="E28" s="83"/>
    </row>
    <row r="29" spans="1:5" ht="21" customHeight="1">
      <c r="A29" s="23">
        <f t="shared" si="0"/>
        <v>21</v>
      </c>
      <c r="B29" s="24" t="s">
        <v>104</v>
      </c>
      <c r="C29" s="18">
        <v>2900</v>
      </c>
      <c r="D29" s="76">
        <f>C29/C7</f>
        <v>0.02813933316960769</v>
      </c>
      <c r="E29" s="83"/>
    </row>
    <row r="30" spans="1:5" ht="21" customHeight="1">
      <c r="A30" s="23">
        <f t="shared" si="0"/>
        <v>22</v>
      </c>
      <c r="B30" s="53" t="s">
        <v>105</v>
      </c>
      <c r="C30" s="18">
        <v>2500</v>
      </c>
      <c r="D30" s="76">
        <f>C30/C7</f>
        <v>0.0242580458358687</v>
      </c>
      <c r="E30" s="83"/>
    </row>
    <row r="31" spans="1:5" ht="21" customHeight="1">
      <c r="A31" s="23">
        <f t="shared" si="0"/>
        <v>23</v>
      </c>
      <c r="B31" s="46" t="s">
        <v>106</v>
      </c>
      <c r="C31" s="18">
        <f>1380+939.5</f>
        <v>2319.5</v>
      </c>
      <c r="D31" s="76">
        <f>C31/C7</f>
        <v>0.02250661492651898</v>
      </c>
      <c r="E31" s="83"/>
    </row>
    <row r="32" spans="1:5" ht="21" customHeight="1">
      <c r="A32" s="23">
        <f t="shared" si="0"/>
        <v>24</v>
      </c>
      <c r="B32" s="46" t="s">
        <v>107</v>
      </c>
      <c r="C32" s="48">
        <f>116.55+1152.3</f>
        <v>1268.85</v>
      </c>
      <c r="D32" s="76">
        <f>C32/C7</f>
        <v>0.0123119285835368</v>
      </c>
      <c r="E32" s="83"/>
    </row>
    <row r="33" spans="1:5" ht="21" customHeight="1">
      <c r="A33" s="23">
        <f t="shared" si="0"/>
        <v>25</v>
      </c>
      <c r="B33" s="27" t="s">
        <v>109</v>
      </c>
      <c r="C33" s="18">
        <v>530.7</v>
      </c>
      <c r="D33" s="76">
        <f>C33/C7</f>
        <v>0.005149497970038208</v>
      </c>
      <c r="E33" s="83"/>
    </row>
    <row r="34" spans="1:5" ht="22.5" customHeight="1">
      <c r="A34" s="23">
        <f t="shared" si="0"/>
        <v>26</v>
      </c>
      <c r="B34" s="46" t="s">
        <v>108</v>
      </c>
      <c r="C34" s="18">
        <v>500</v>
      </c>
      <c r="D34" s="76">
        <f>C34/C7</f>
        <v>0.00485160916717374</v>
      </c>
      <c r="E34" s="83"/>
    </row>
    <row r="35" spans="1:5" ht="19.5" customHeight="1">
      <c r="A35" s="88" t="s">
        <v>26</v>
      </c>
      <c r="B35" s="88"/>
      <c r="C35" s="5">
        <f>SUM(C37:C79)</f>
        <v>344635.1899999999</v>
      </c>
      <c r="D35" s="79">
        <f>C35/C3</f>
        <v>0.356480163139118</v>
      </c>
      <c r="E35" s="83"/>
    </row>
    <row r="36" spans="1:6" ht="25.5" customHeight="1">
      <c r="A36" s="2" t="s">
        <v>0</v>
      </c>
      <c r="B36" s="2" t="s">
        <v>24</v>
      </c>
      <c r="C36" s="3" t="s">
        <v>25</v>
      </c>
      <c r="D36" s="75" t="s">
        <v>1</v>
      </c>
      <c r="E36" s="8"/>
      <c r="F36" s="9"/>
    </row>
    <row r="37" spans="1:5" ht="27.75" customHeight="1">
      <c r="A37" s="1">
        <v>1</v>
      </c>
      <c r="B37" s="54" t="s">
        <v>110</v>
      </c>
      <c r="C37" s="18">
        <v>54373.6</v>
      </c>
      <c r="D37" s="76">
        <f>C37/C35</f>
        <v>0.1577714684330408</v>
      </c>
      <c r="E37" s="83"/>
    </row>
    <row r="38" spans="1:5" ht="42.75" customHeight="1">
      <c r="A38" s="1">
        <f>A37+1</f>
        <v>2</v>
      </c>
      <c r="B38" s="28" t="s">
        <v>111</v>
      </c>
      <c r="C38" s="18">
        <f>372.3+1380+735.4+2900+2057+618.1+1128+1193.4+280.8+948+373.69+302+2056+1721+2890+1304.45+1698+269.6+824.9+188.9+1310+1440.75+650+1496.6+1035+3585.4+1291.8</f>
        <v>34051.090000000004</v>
      </c>
      <c r="D38" s="76">
        <f>C38/C35</f>
        <v>0.09880328819584563</v>
      </c>
      <c r="E38" s="83"/>
    </row>
    <row r="39" spans="1:5" ht="27.75" customHeight="1">
      <c r="A39" s="1">
        <f aca="true" t="shared" si="1" ref="A39:A79">A38+1</f>
        <v>3</v>
      </c>
      <c r="B39" s="61" t="s">
        <v>112</v>
      </c>
      <c r="C39" s="18">
        <f>1307.63+1544.1+1050.9+198+308+1345.6+5715.9+8761.4+1637.25+18.75+9000</f>
        <v>30887.53</v>
      </c>
      <c r="D39" s="76">
        <f>C39/C35</f>
        <v>0.08962384253331765</v>
      </c>
      <c r="E39" s="83"/>
    </row>
    <row r="40" spans="1:5" ht="25.5" customHeight="1">
      <c r="A40" s="1">
        <f t="shared" si="1"/>
        <v>4</v>
      </c>
      <c r="B40" s="29" t="s">
        <v>113</v>
      </c>
      <c r="C40" s="18">
        <v>25598</v>
      </c>
      <c r="D40" s="76">
        <f>C40/C35</f>
        <v>0.07427564202018955</v>
      </c>
      <c r="E40" s="83"/>
    </row>
    <row r="41" spans="1:5" ht="28.5" customHeight="1">
      <c r="A41" s="1">
        <f t="shared" si="1"/>
        <v>5</v>
      </c>
      <c r="B41" s="63" t="s">
        <v>114</v>
      </c>
      <c r="C41" s="18">
        <v>20480</v>
      </c>
      <c r="D41" s="76">
        <f>C41/C35</f>
        <v>0.05942515620648027</v>
      </c>
      <c r="E41" s="83"/>
    </row>
    <row r="42" spans="1:5" ht="29.25" customHeight="1">
      <c r="A42" s="1">
        <f t="shared" si="1"/>
        <v>6</v>
      </c>
      <c r="B42" s="60" t="s">
        <v>115</v>
      </c>
      <c r="C42" s="18">
        <f>19835</f>
        <v>19835</v>
      </c>
      <c r="D42" s="76">
        <f>C42/C35</f>
        <v>0.05755361198025079</v>
      </c>
      <c r="E42" s="83"/>
    </row>
    <row r="43" spans="1:5" ht="21" customHeight="1">
      <c r="A43" s="1">
        <f t="shared" si="1"/>
        <v>7</v>
      </c>
      <c r="B43" s="46" t="s">
        <v>116</v>
      </c>
      <c r="C43" s="18">
        <f>4963.3+5842+577.1+2286.8+1508.2+4341.6</f>
        <v>19519</v>
      </c>
      <c r="D43" s="76">
        <f>C43/C35</f>
        <v>0.056636700390346115</v>
      </c>
      <c r="E43" s="83"/>
    </row>
    <row r="44" spans="1:5" ht="27" customHeight="1">
      <c r="A44" s="1">
        <f t="shared" si="1"/>
        <v>8</v>
      </c>
      <c r="B44" s="24" t="s">
        <v>117</v>
      </c>
      <c r="C44" s="18">
        <f>2719.2+6135+4134.7+5127.2</f>
        <v>18116.100000000002</v>
      </c>
      <c r="D44" s="76">
        <f>C44/C35</f>
        <v>0.052566019157823114</v>
      </c>
      <c r="E44" s="83"/>
    </row>
    <row r="45" spans="1:5" ht="28.5" customHeight="1">
      <c r="A45" s="1">
        <f t="shared" si="1"/>
        <v>9</v>
      </c>
      <c r="B45" s="29" t="s">
        <v>118</v>
      </c>
      <c r="C45" s="18">
        <v>15700</v>
      </c>
      <c r="D45" s="76">
        <f>C45/C35</f>
        <v>0.045555417599694344</v>
      </c>
      <c r="E45" s="83"/>
    </row>
    <row r="46" spans="1:5" ht="29.25" customHeight="1">
      <c r="A46" s="1">
        <f t="shared" si="1"/>
        <v>10</v>
      </c>
      <c r="B46" s="38" t="s">
        <v>119</v>
      </c>
      <c r="C46" s="18">
        <v>10967.3</v>
      </c>
      <c r="D46" s="76">
        <f>C46/C35</f>
        <v>0.03182292556949858</v>
      </c>
      <c r="E46" s="83"/>
    </row>
    <row r="47" spans="1:5" ht="25.5" customHeight="1">
      <c r="A47" s="1">
        <f t="shared" si="1"/>
        <v>11</v>
      </c>
      <c r="B47" s="29" t="s">
        <v>120</v>
      </c>
      <c r="C47" s="18">
        <f>1426+1426+340+1220+1665+467+467+467+467+467+590+1415.9</f>
        <v>10417.9</v>
      </c>
      <c r="D47" s="76">
        <f>C47/C35</f>
        <v>0.030228776115404823</v>
      </c>
      <c r="E47" s="83"/>
    </row>
    <row r="48" spans="1:5" ht="28.5" customHeight="1">
      <c r="A48" s="1">
        <f t="shared" si="1"/>
        <v>12</v>
      </c>
      <c r="B48" s="46" t="s">
        <v>121</v>
      </c>
      <c r="C48" s="18">
        <f>3592+3592+780.2+1293.8</f>
        <v>9258</v>
      </c>
      <c r="D48" s="76">
        <f>C48/C35</f>
        <v>0.026863188289042692</v>
      </c>
      <c r="E48" s="83"/>
    </row>
    <row r="49" spans="1:5" ht="27.75" customHeight="1">
      <c r="A49" s="1">
        <f t="shared" si="1"/>
        <v>13</v>
      </c>
      <c r="B49" s="29" t="s">
        <v>122</v>
      </c>
      <c r="C49" s="18">
        <f>980+1300+340+1560+320+320+425+425+406.1</f>
        <v>6076.1</v>
      </c>
      <c r="D49" s="76">
        <f>C49/C35</f>
        <v>0.01763052693487279</v>
      </c>
      <c r="E49" s="83"/>
    </row>
    <row r="50" spans="1:5" ht="22.5" customHeight="1">
      <c r="A50" s="1">
        <f t="shared" si="1"/>
        <v>14</v>
      </c>
      <c r="B50" s="47" t="s">
        <v>123</v>
      </c>
      <c r="C50" s="11">
        <f>1590.8+691+364.3+679+429.6+741.4+554.9</f>
        <v>5051</v>
      </c>
      <c r="D50" s="76">
        <f>C50/C35</f>
        <v>0.014656077343697844</v>
      </c>
      <c r="E50" s="83"/>
    </row>
    <row r="51" spans="1:5" ht="20.25" customHeight="1">
      <c r="A51" s="1">
        <f t="shared" si="1"/>
        <v>15</v>
      </c>
      <c r="B51" s="29" t="s">
        <v>124</v>
      </c>
      <c r="C51" s="18">
        <f>846.4+349.4+164.7+425.3+127.67+358.9+645.4+621.6+1105.7</f>
        <v>4645.07</v>
      </c>
      <c r="D51" s="76">
        <f>C51/C35</f>
        <v>0.013478223161134536</v>
      </c>
      <c r="E51" s="83"/>
    </row>
    <row r="52" spans="1:5" ht="22.5" customHeight="1">
      <c r="A52" s="1">
        <f t="shared" si="1"/>
        <v>16</v>
      </c>
      <c r="B52" s="54" t="s">
        <v>125</v>
      </c>
      <c r="C52" s="18">
        <f>673.6+391+262.8+106.8+415.4+294+615.43+637.9+712.6+501.2</f>
        <v>4610.73</v>
      </c>
      <c r="D52" s="76">
        <f>C52/C35</f>
        <v>0.013378581566206287</v>
      </c>
      <c r="E52" s="83"/>
    </row>
    <row r="53" spans="1:5" ht="24.75" customHeight="1">
      <c r="A53" s="1">
        <f t="shared" si="1"/>
        <v>17</v>
      </c>
      <c r="B53" s="51" t="s">
        <v>126</v>
      </c>
      <c r="C53" s="18">
        <f>375.3+337.8+375.3+386.6+392.4+392.4+375.3+375.3+337.8+375.3+375.3</f>
        <v>4098.800000000001</v>
      </c>
      <c r="D53" s="76">
        <f>C53/C35</f>
        <v>0.011893155774371162</v>
      </c>
      <c r="E53" s="83"/>
    </row>
    <row r="54" spans="1:5" ht="27.75" customHeight="1">
      <c r="A54" s="1">
        <f t="shared" si="1"/>
        <v>18</v>
      </c>
      <c r="B54" s="29" t="s">
        <v>127</v>
      </c>
      <c r="C54" s="18">
        <f>2325.48+1350</f>
        <v>3675.48</v>
      </c>
      <c r="D54" s="76">
        <f>C54/C35</f>
        <v>0.01066484243817354</v>
      </c>
      <c r="E54" s="83"/>
    </row>
    <row r="55" spans="1:5" ht="33" customHeight="1">
      <c r="A55" s="1">
        <f t="shared" si="1"/>
        <v>19</v>
      </c>
      <c r="B55" s="45" t="s">
        <v>128</v>
      </c>
      <c r="C55" s="11">
        <f>2500+1103.3</f>
        <v>3603.3</v>
      </c>
      <c r="D55" s="76">
        <f>C55/C35</f>
        <v>0.010455403581973163</v>
      </c>
      <c r="E55" s="83"/>
    </row>
    <row r="56" spans="1:5" ht="19.5" customHeight="1">
      <c r="A56" s="1">
        <f t="shared" si="1"/>
        <v>20</v>
      </c>
      <c r="B56" s="45" t="s">
        <v>129</v>
      </c>
      <c r="C56" s="18">
        <f>2900+577.3</f>
        <v>3477.3</v>
      </c>
      <c r="D56" s="76">
        <f>C56/C35</f>
        <v>0.01008979959359345</v>
      </c>
      <c r="E56" s="83"/>
    </row>
    <row r="57" spans="1:5" ht="28.5" customHeight="1">
      <c r="A57" s="1">
        <f t="shared" si="1"/>
        <v>21</v>
      </c>
      <c r="B57" s="45" t="s">
        <v>130</v>
      </c>
      <c r="C57" s="18">
        <f>2900</f>
        <v>2900</v>
      </c>
      <c r="D57" s="76">
        <f>C57/C35</f>
        <v>0.008414694970644178</v>
      </c>
      <c r="E57" s="83"/>
    </row>
    <row r="58" spans="1:5" ht="29.25" customHeight="1">
      <c r="A58" s="1">
        <f t="shared" si="1"/>
        <v>22</v>
      </c>
      <c r="B58" s="51" t="s">
        <v>131</v>
      </c>
      <c r="C58" s="11">
        <v>2900</v>
      </c>
      <c r="D58" s="76">
        <f>C58/C35</f>
        <v>0.008414694970644178</v>
      </c>
      <c r="E58" s="83"/>
    </row>
    <row r="59" spans="1:5" ht="30.75" customHeight="1">
      <c r="A59" s="1">
        <f t="shared" si="1"/>
        <v>23</v>
      </c>
      <c r="B59" s="29" t="s">
        <v>132</v>
      </c>
      <c r="C59" s="18">
        <v>2900</v>
      </c>
      <c r="D59" s="76">
        <f>C59/C35</f>
        <v>0.008414694970644178</v>
      </c>
      <c r="E59" s="83"/>
    </row>
    <row r="60" spans="1:5" ht="18" customHeight="1">
      <c r="A60" s="1">
        <f t="shared" si="1"/>
        <v>24</v>
      </c>
      <c r="B60" s="29" t="s">
        <v>133</v>
      </c>
      <c r="C60" s="18">
        <v>2900</v>
      </c>
      <c r="D60" s="76">
        <f>C60/C35</f>
        <v>0.008414694970644178</v>
      </c>
      <c r="E60" s="83"/>
    </row>
    <row r="61" spans="1:5" ht="27.75" customHeight="1">
      <c r="A61" s="1">
        <f t="shared" si="1"/>
        <v>25</v>
      </c>
      <c r="B61" s="29" t="s">
        <v>134</v>
      </c>
      <c r="C61" s="11">
        <v>2900</v>
      </c>
      <c r="D61" s="76">
        <f>C61/C35</f>
        <v>0.008414694970644178</v>
      </c>
      <c r="E61" s="83"/>
    </row>
    <row r="62" spans="1:5" ht="21.75" customHeight="1">
      <c r="A62" s="1">
        <f t="shared" si="1"/>
        <v>26</v>
      </c>
      <c r="B62" s="29" t="s">
        <v>135</v>
      </c>
      <c r="C62" s="18">
        <v>2900</v>
      </c>
      <c r="D62" s="76">
        <f>C62/C35</f>
        <v>0.008414694970644178</v>
      </c>
      <c r="E62" s="83"/>
    </row>
    <row r="63" spans="1:5" ht="22.5" customHeight="1">
      <c r="A63" s="1">
        <f t="shared" si="1"/>
        <v>27</v>
      </c>
      <c r="B63" s="29" t="s">
        <v>136</v>
      </c>
      <c r="C63" s="18">
        <v>2900</v>
      </c>
      <c r="D63" s="76">
        <f>C63/C35</f>
        <v>0.008414694970644178</v>
      </c>
      <c r="E63" s="83"/>
    </row>
    <row r="64" spans="1:5" ht="25.5" customHeight="1">
      <c r="A64" s="1">
        <f t="shared" si="1"/>
        <v>28</v>
      </c>
      <c r="B64" s="57" t="s">
        <v>137</v>
      </c>
      <c r="C64" s="18">
        <v>2000</v>
      </c>
      <c r="D64" s="76">
        <f>C64/C35</f>
        <v>0.005803237910789088</v>
      </c>
      <c r="E64" s="83"/>
    </row>
    <row r="65" spans="1:5" ht="27.75" customHeight="1">
      <c r="A65" s="1">
        <f t="shared" si="1"/>
        <v>29</v>
      </c>
      <c r="B65" s="45" t="s">
        <v>138</v>
      </c>
      <c r="C65" s="18">
        <f>395.54+1487.5</f>
        <v>1883.04</v>
      </c>
      <c r="D65" s="76">
        <f>C65/C35</f>
        <v>0.005463864557766143</v>
      </c>
      <c r="E65" s="83"/>
    </row>
    <row r="66" spans="1:5" ht="23.25" customHeight="1">
      <c r="A66" s="1">
        <f t="shared" si="1"/>
        <v>30</v>
      </c>
      <c r="B66" s="29" t="s">
        <v>139</v>
      </c>
      <c r="C66" s="18">
        <f>1168.2+546.1</f>
        <v>1714.3000000000002</v>
      </c>
      <c r="D66" s="76">
        <f>C66/C35</f>
        <v>0.004974245375232868</v>
      </c>
      <c r="E66" s="83"/>
    </row>
    <row r="67" spans="1:5" ht="20.25" customHeight="1">
      <c r="A67" s="1">
        <f t="shared" si="1"/>
        <v>31</v>
      </c>
      <c r="B67" s="29" t="s">
        <v>140</v>
      </c>
      <c r="C67" s="18">
        <f>1579.6</f>
        <v>1579.6</v>
      </c>
      <c r="D67" s="76">
        <f>C67/C35</f>
        <v>0.004583397301941222</v>
      </c>
      <c r="E67" s="83"/>
    </row>
    <row r="68" spans="1:5" ht="24" customHeight="1">
      <c r="A68" s="1">
        <f t="shared" si="1"/>
        <v>32</v>
      </c>
      <c r="B68" s="45" t="s">
        <v>130</v>
      </c>
      <c r="C68" s="18">
        <f>1332.5+216.6</f>
        <v>1549.1</v>
      </c>
      <c r="D68" s="76">
        <f>C68/C35</f>
        <v>0.004494897923801688</v>
      </c>
      <c r="E68" s="83"/>
    </row>
    <row r="69" spans="1:5" ht="27.75" customHeight="1">
      <c r="A69" s="1">
        <f t="shared" si="1"/>
        <v>33</v>
      </c>
      <c r="B69" s="51" t="s">
        <v>141</v>
      </c>
      <c r="C69" s="11">
        <v>1500</v>
      </c>
      <c r="D69" s="76">
        <f>C69/C35</f>
        <v>0.004352428433091817</v>
      </c>
      <c r="E69" s="83"/>
    </row>
    <row r="70" spans="1:5" ht="29.25" customHeight="1">
      <c r="A70" s="1">
        <f t="shared" si="1"/>
        <v>34</v>
      </c>
      <c r="B70" s="57" t="s">
        <v>142</v>
      </c>
      <c r="C70" s="18">
        <f>1427.9</f>
        <v>1427.9</v>
      </c>
      <c r="D70" s="76">
        <f>C70/C35</f>
        <v>0.0041432217064078704</v>
      </c>
      <c r="E70" s="83"/>
    </row>
    <row r="71" spans="1:5" ht="30.75" customHeight="1">
      <c r="A71" s="1">
        <f t="shared" si="1"/>
        <v>35</v>
      </c>
      <c r="B71" s="47" t="s">
        <v>143</v>
      </c>
      <c r="C71" s="18">
        <f>701.5+589.6+132</f>
        <v>1423.1</v>
      </c>
      <c r="D71" s="76">
        <f>C71/C35</f>
        <v>0.004129293935421976</v>
      </c>
      <c r="E71" s="83"/>
    </row>
    <row r="72" spans="1:5" ht="25.5" customHeight="1">
      <c r="A72" s="1">
        <f t="shared" si="1"/>
        <v>36</v>
      </c>
      <c r="B72" s="47" t="s">
        <v>144</v>
      </c>
      <c r="C72" s="18">
        <f>307.9+730.8+341.5</f>
        <v>1380.1999999999998</v>
      </c>
      <c r="D72" s="76">
        <f>C72/C35</f>
        <v>0.00400481448223555</v>
      </c>
      <c r="E72" s="83"/>
    </row>
    <row r="73" spans="1:5" ht="27.75" customHeight="1">
      <c r="A73" s="1">
        <f t="shared" si="1"/>
        <v>37</v>
      </c>
      <c r="B73" s="29" t="s">
        <v>145</v>
      </c>
      <c r="C73" s="18">
        <f>221+355.3+748.4</f>
        <v>1324.6999999999998</v>
      </c>
      <c r="D73" s="76">
        <f>C73/C35</f>
        <v>0.0038437746302111522</v>
      </c>
      <c r="E73" s="83"/>
    </row>
    <row r="74" spans="1:5" ht="27.75" customHeight="1">
      <c r="A74" s="1">
        <f t="shared" si="1"/>
        <v>38</v>
      </c>
      <c r="B74" s="62" t="s">
        <v>146</v>
      </c>
      <c r="C74" s="18">
        <v>1100</v>
      </c>
      <c r="D74" s="76">
        <f>C74/C35</f>
        <v>0.003191780850933999</v>
      </c>
      <c r="E74" s="83"/>
    </row>
    <row r="75" spans="1:5" ht="19.5" customHeight="1">
      <c r="A75" s="1">
        <f t="shared" si="1"/>
        <v>39</v>
      </c>
      <c r="B75" s="28" t="s">
        <v>147</v>
      </c>
      <c r="C75" s="18">
        <f>525.7+465</f>
        <v>990.7</v>
      </c>
      <c r="D75" s="76">
        <f>C75/C35</f>
        <v>0.002874633899109375</v>
      </c>
      <c r="E75" s="83"/>
    </row>
    <row r="76" spans="1:5" ht="24" customHeight="1">
      <c r="A76" s="1">
        <f t="shared" si="1"/>
        <v>40</v>
      </c>
      <c r="B76" s="29" t="s">
        <v>148</v>
      </c>
      <c r="C76" s="18">
        <f>798.5</f>
        <v>798.5</v>
      </c>
      <c r="D76" s="76">
        <f>C76/C35</f>
        <v>0.0023169427358825435</v>
      </c>
      <c r="E76" s="83"/>
    </row>
    <row r="77" spans="1:5" ht="22.5" customHeight="1">
      <c r="A77" s="1">
        <f t="shared" si="1"/>
        <v>41</v>
      </c>
      <c r="B77" s="50" t="s">
        <v>149</v>
      </c>
      <c r="C77" s="18">
        <f>600</f>
        <v>600</v>
      </c>
      <c r="D77" s="76">
        <f>C77/C35</f>
        <v>0.0017409713732367267</v>
      </c>
      <c r="E77" s="83"/>
    </row>
    <row r="78" spans="1:5" ht="27.75" customHeight="1">
      <c r="A78" s="1">
        <f t="shared" si="1"/>
        <v>42</v>
      </c>
      <c r="B78" s="29" t="s">
        <v>150</v>
      </c>
      <c r="C78" s="18">
        <f>564.5</f>
        <v>564.5</v>
      </c>
      <c r="D78" s="76">
        <f>C78/C35</f>
        <v>0.0016379639003202204</v>
      </c>
      <c r="E78" s="83"/>
    </row>
    <row r="79" spans="1:5" ht="28.5" customHeight="1">
      <c r="A79" s="1">
        <f t="shared" si="1"/>
        <v>43</v>
      </c>
      <c r="B79" s="54" t="s">
        <v>151</v>
      </c>
      <c r="C79" s="18">
        <f>58.25</f>
        <v>58.25</v>
      </c>
      <c r="D79" s="76">
        <f>C79/C35</f>
        <v>0.00016901930415173222</v>
      </c>
      <c r="E79" s="83"/>
    </row>
    <row r="80" spans="1:5" ht="26.25" customHeight="1">
      <c r="A80" s="88" t="s">
        <v>38</v>
      </c>
      <c r="B80" s="88"/>
      <c r="C80" s="5">
        <f>SUM(C82:C115)</f>
        <v>131460.27000000002</v>
      </c>
      <c r="D80" s="79">
        <f>C80/C3</f>
        <v>0.13597850670998665</v>
      </c>
      <c r="E80" s="83"/>
    </row>
    <row r="81" spans="1:5" ht="26.25" customHeight="1">
      <c r="A81" s="2" t="s">
        <v>0</v>
      </c>
      <c r="B81" s="2" t="s">
        <v>24</v>
      </c>
      <c r="C81" s="3" t="s">
        <v>25</v>
      </c>
      <c r="D81" s="75" t="s">
        <v>1</v>
      </c>
      <c r="E81" s="83"/>
    </row>
    <row r="82" spans="1:5" ht="28.5" customHeight="1">
      <c r="A82" s="1">
        <v>1</v>
      </c>
      <c r="B82" s="45" t="s">
        <v>152</v>
      </c>
      <c r="C82" s="18">
        <f>2900+360.7+1307.5+1477.4+1786.9+3737.9+1034.5+490+1168.9+1525.2+1977.99+519.7+879+414.3+203.8+155+1390.1+970.8+960.6+351.1+3617.6+2069.8+2233.3+3654.5+1351.5+1755</f>
        <v>38293.09</v>
      </c>
      <c r="D82" s="76">
        <f>C82/C80</f>
        <v>0.29129021262469634</v>
      </c>
      <c r="E82" s="83"/>
    </row>
    <row r="83" spans="1:5" ht="19.5" customHeight="1">
      <c r="A83" s="1">
        <f>A82+1</f>
        <v>2</v>
      </c>
      <c r="B83" s="24" t="s">
        <v>153</v>
      </c>
      <c r="C83" s="18">
        <f>337.61+230.87+49.6+490.09+611.6+296.49+349.15+485.5+647.39+647.39+596.3+596.3+566.5+753.8+281.1+638+775.06+732+887.9</f>
        <v>9972.65</v>
      </c>
      <c r="D83" s="76">
        <f>C83/C80</f>
        <v>0.0758605622824295</v>
      </c>
      <c r="E83" s="83"/>
    </row>
    <row r="84" spans="1:5" ht="23.25" customHeight="1">
      <c r="A84" s="1">
        <f aca="true" t="shared" si="2" ref="A84:A115">A83+1</f>
        <v>3</v>
      </c>
      <c r="B84" s="19" t="s">
        <v>154</v>
      </c>
      <c r="C84" s="18">
        <f>2900+5794.18</f>
        <v>8694.18</v>
      </c>
      <c r="D84" s="76">
        <f>C84/C80</f>
        <v>0.0661354187086334</v>
      </c>
      <c r="E84" s="83"/>
    </row>
    <row r="85" spans="1:5" ht="23.25" customHeight="1">
      <c r="A85" s="1">
        <f t="shared" si="2"/>
        <v>4</v>
      </c>
      <c r="B85" s="47" t="s">
        <v>155</v>
      </c>
      <c r="C85" s="18">
        <f>325.8+801.4+1584.4+2520+811.1</f>
        <v>6042.700000000001</v>
      </c>
      <c r="D85" s="76">
        <f>C85/C80</f>
        <v>0.045965978922757424</v>
      </c>
      <c r="E85" s="83"/>
    </row>
    <row r="86" spans="1:5" ht="28.5" customHeight="1">
      <c r="A86" s="1">
        <f t="shared" si="2"/>
        <v>5</v>
      </c>
      <c r="B86" s="54" t="s">
        <v>156</v>
      </c>
      <c r="C86" s="18">
        <f>622.7+326.7+4420.9</f>
        <v>5370.299999999999</v>
      </c>
      <c r="D86" s="76">
        <f>C86/C80</f>
        <v>0.040851125591024565</v>
      </c>
      <c r="E86" s="83"/>
    </row>
    <row r="87" spans="1:5" ht="30.75" customHeight="1">
      <c r="A87" s="1">
        <f t="shared" si="2"/>
        <v>6</v>
      </c>
      <c r="B87" s="47" t="s">
        <v>157</v>
      </c>
      <c r="C87" s="18">
        <f>992.4+401.5+289.2+351.1+327.5+815.2+817.6+245.1+372.8+420.5+300</f>
        <v>5332.900000000001</v>
      </c>
      <c r="D87" s="76">
        <f>C87/C80</f>
        <v>0.04056662898988417</v>
      </c>
      <c r="E87" s="83"/>
    </row>
    <row r="88" spans="1:5" ht="30" customHeight="1">
      <c r="A88" s="1">
        <f t="shared" si="2"/>
        <v>7</v>
      </c>
      <c r="B88" s="54" t="s">
        <v>158</v>
      </c>
      <c r="C88" s="18">
        <f>375.3+375.3+675.6+2000+1543.9+319</f>
        <v>5289.1</v>
      </c>
      <c r="D88" s="76">
        <f>C88/C80</f>
        <v>0.04023344847838818</v>
      </c>
      <c r="E88" s="83"/>
    </row>
    <row r="89" spans="1:5" ht="23.25" customHeight="1">
      <c r="A89" s="1">
        <f t="shared" si="2"/>
        <v>8</v>
      </c>
      <c r="B89" s="47" t="s">
        <v>159</v>
      </c>
      <c r="C89" s="18">
        <f>325.1+4899</f>
        <v>5224.1</v>
      </c>
      <c r="D89" s="76">
        <f>C89/C80</f>
        <v>0.03973900251383935</v>
      </c>
      <c r="E89" s="83"/>
    </row>
    <row r="90" spans="1:5" ht="23.25" customHeight="1">
      <c r="A90" s="1">
        <f t="shared" si="2"/>
        <v>9</v>
      </c>
      <c r="B90" s="46" t="s">
        <v>160</v>
      </c>
      <c r="C90" s="18">
        <v>4520.5</v>
      </c>
      <c r="D90" s="76">
        <f>C90/C80</f>
        <v>0.03438681511912306</v>
      </c>
      <c r="E90" s="83"/>
    </row>
    <row r="91" spans="1:5" ht="27" customHeight="1">
      <c r="A91" s="1">
        <f t="shared" si="2"/>
        <v>10</v>
      </c>
      <c r="B91" s="54" t="s">
        <v>161</v>
      </c>
      <c r="C91" s="18">
        <f>2740.6+749.9</f>
        <v>3490.5</v>
      </c>
      <c r="D91" s="76">
        <f>C91/C80</f>
        <v>0.026551748296272323</v>
      </c>
      <c r="E91" s="83"/>
    </row>
    <row r="92" spans="1:5" ht="27.75" customHeight="1">
      <c r="A92" s="1">
        <f t="shared" si="2"/>
        <v>11</v>
      </c>
      <c r="B92" s="28" t="s">
        <v>162</v>
      </c>
      <c r="C92" s="18">
        <f>690+1646.12+397.5+365.3</f>
        <v>3098.92</v>
      </c>
      <c r="D92" s="76">
        <f>C92/C80</f>
        <v>0.023573053668610292</v>
      </c>
      <c r="E92" s="83"/>
    </row>
    <row r="93" spans="1:5" ht="21" customHeight="1">
      <c r="A93" s="1">
        <f t="shared" si="2"/>
        <v>12</v>
      </c>
      <c r="B93" s="29" t="s">
        <v>48</v>
      </c>
      <c r="C93" s="18">
        <v>2900</v>
      </c>
      <c r="D93" s="76">
        <f>C93/C80</f>
        <v>0.022059896879871</v>
      </c>
      <c r="E93" s="83"/>
    </row>
    <row r="94" spans="1:5" ht="24.75" customHeight="1">
      <c r="A94" s="1">
        <f t="shared" si="2"/>
        <v>13</v>
      </c>
      <c r="B94" s="19" t="s">
        <v>163</v>
      </c>
      <c r="C94" s="18">
        <v>2900</v>
      </c>
      <c r="D94" s="76">
        <f>C94/C80</f>
        <v>0.022059896879871</v>
      </c>
      <c r="E94" s="83"/>
    </row>
    <row r="95" spans="1:5" ht="27" customHeight="1">
      <c r="A95" s="1">
        <f t="shared" si="2"/>
        <v>14</v>
      </c>
      <c r="B95" s="65" t="s">
        <v>164</v>
      </c>
      <c r="C95" s="18">
        <v>2900</v>
      </c>
      <c r="D95" s="76">
        <f>C95/C80</f>
        <v>0.022059896879871</v>
      </c>
      <c r="E95" s="83"/>
    </row>
    <row r="96" spans="1:5" ht="28.5" customHeight="1">
      <c r="A96" s="1">
        <f t="shared" si="2"/>
        <v>15</v>
      </c>
      <c r="B96" s="57" t="s">
        <v>165</v>
      </c>
      <c r="C96" s="18">
        <v>2900</v>
      </c>
      <c r="D96" s="76">
        <f>C96/C80</f>
        <v>0.022059896879871</v>
      </c>
      <c r="E96" s="83"/>
    </row>
    <row r="97" spans="1:5" ht="28.5" customHeight="1">
      <c r="A97" s="1">
        <f t="shared" si="2"/>
        <v>16</v>
      </c>
      <c r="B97" s="46" t="s">
        <v>166</v>
      </c>
      <c r="C97" s="11">
        <f>1948.8+902.8</f>
        <v>2851.6</v>
      </c>
      <c r="D97" s="76">
        <f>C97/C80</f>
        <v>0.02169172480780695</v>
      </c>
      <c r="E97" s="83"/>
    </row>
    <row r="98" spans="1:5" ht="28.5" customHeight="1">
      <c r="A98" s="1">
        <f t="shared" si="2"/>
        <v>17</v>
      </c>
      <c r="B98" s="49" t="s">
        <v>167</v>
      </c>
      <c r="C98" s="11">
        <f>634.5+187.8+597.7+43.5+797.31+442.76+57.86</f>
        <v>2761.43</v>
      </c>
      <c r="D98" s="76">
        <f>C98/C80</f>
        <v>0.021005814152062822</v>
      </c>
      <c r="E98" s="83"/>
    </row>
    <row r="99" spans="1:5" ht="23.25" customHeight="1">
      <c r="A99" s="1">
        <f t="shared" si="2"/>
        <v>18</v>
      </c>
      <c r="B99" s="29" t="s">
        <v>168</v>
      </c>
      <c r="C99" s="18">
        <f>141.8+844.8+725.1+753.1</f>
        <v>2464.7999999999997</v>
      </c>
      <c r="D99" s="76">
        <f>C99/C80</f>
        <v>0.018749390975691737</v>
      </c>
      <c r="E99" s="83"/>
    </row>
    <row r="100" spans="1:5" ht="21" customHeight="1">
      <c r="A100" s="1">
        <f t="shared" si="2"/>
        <v>19</v>
      </c>
      <c r="B100" s="54" t="s">
        <v>169</v>
      </c>
      <c r="C100" s="18">
        <f>1500+380+385.6</f>
        <v>2265.6</v>
      </c>
      <c r="D100" s="76">
        <f>C100/C80</f>
        <v>0.017234104265874392</v>
      </c>
      <c r="E100" s="83"/>
    </row>
    <row r="101" spans="1:5" ht="29.25" customHeight="1">
      <c r="A101" s="1">
        <f t="shared" si="2"/>
        <v>20</v>
      </c>
      <c r="B101" s="54" t="s">
        <v>170</v>
      </c>
      <c r="C101" s="18">
        <v>2000</v>
      </c>
      <c r="D101" s="76">
        <f>C101/C80</f>
        <v>0.015213721986117933</v>
      </c>
      <c r="E101" s="83"/>
    </row>
    <row r="102" spans="1:5" ht="26.25" customHeight="1">
      <c r="A102" s="1">
        <f t="shared" si="2"/>
        <v>21</v>
      </c>
      <c r="B102" s="47" t="s">
        <v>171</v>
      </c>
      <c r="C102" s="18">
        <v>1701</v>
      </c>
      <c r="D102" s="76">
        <f>C102/C80</f>
        <v>0.012939270549193301</v>
      </c>
      <c r="E102" s="83"/>
    </row>
    <row r="103" spans="1:5" ht="22.5" customHeight="1">
      <c r="A103" s="1">
        <f t="shared" si="2"/>
        <v>22</v>
      </c>
      <c r="B103" s="21" t="s">
        <v>172</v>
      </c>
      <c r="C103" s="11">
        <v>1383.3</v>
      </c>
      <c r="D103" s="76">
        <f>C103/C80</f>
        <v>0.010522570811698467</v>
      </c>
      <c r="E103" s="83"/>
    </row>
    <row r="104" spans="1:5" ht="26.25" customHeight="1">
      <c r="A104" s="1">
        <f t="shared" si="2"/>
        <v>23</v>
      </c>
      <c r="B104" s="19" t="s">
        <v>173</v>
      </c>
      <c r="C104" s="18">
        <f>678.3+232.7+315.8</f>
        <v>1226.8</v>
      </c>
      <c r="D104" s="76">
        <f>C104/C80</f>
        <v>0.009332097066284739</v>
      </c>
      <c r="E104" s="83"/>
    </row>
    <row r="105" spans="1:5" ht="21.75" customHeight="1">
      <c r="A105" s="1">
        <f t="shared" si="2"/>
        <v>24</v>
      </c>
      <c r="B105" s="29" t="s">
        <v>174</v>
      </c>
      <c r="C105" s="18">
        <v>1200</v>
      </c>
      <c r="D105" s="76">
        <f>C105/C80</f>
        <v>0.00912823319167076</v>
      </c>
      <c r="E105" s="83"/>
    </row>
    <row r="106" spans="1:5" ht="23.25" customHeight="1">
      <c r="A106" s="1">
        <f t="shared" si="2"/>
        <v>25</v>
      </c>
      <c r="B106" s="28" t="s">
        <v>175</v>
      </c>
      <c r="C106" s="11">
        <f>476.9+507.9</f>
        <v>984.8</v>
      </c>
      <c r="D106" s="76">
        <f>C106/C80</f>
        <v>0.00749123670596447</v>
      </c>
      <c r="E106" s="83"/>
    </row>
    <row r="107" spans="1:5" ht="31.5" customHeight="1">
      <c r="A107" s="1">
        <f t="shared" si="2"/>
        <v>26</v>
      </c>
      <c r="B107" s="47" t="s">
        <v>176</v>
      </c>
      <c r="C107" s="11">
        <v>952</v>
      </c>
      <c r="D107" s="76">
        <f>C107/C80</f>
        <v>0.007241731665392136</v>
      </c>
      <c r="E107" s="83"/>
    </row>
    <row r="108" spans="1:5" ht="27.75" customHeight="1">
      <c r="A108" s="1">
        <f t="shared" si="2"/>
        <v>27</v>
      </c>
      <c r="B108" s="19" t="s">
        <v>177</v>
      </c>
      <c r="C108" s="18">
        <v>900.5</v>
      </c>
      <c r="D108" s="76">
        <f>C108/C80</f>
        <v>0.006849978324249599</v>
      </c>
      <c r="E108" s="83"/>
    </row>
    <row r="109" spans="1:5" ht="31.5" customHeight="1">
      <c r="A109" s="1">
        <f t="shared" si="2"/>
        <v>28</v>
      </c>
      <c r="B109" s="19" t="s">
        <v>178</v>
      </c>
      <c r="C109" s="18">
        <f>108.7+527.5+142.5</f>
        <v>778.7</v>
      </c>
      <c r="D109" s="76">
        <f>C109/C80</f>
        <v>0.005923462655295018</v>
      </c>
      <c r="E109" s="83"/>
    </row>
    <row r="110" spans="1:5" ht="28.5" customHeight="1">
      <c r="A110" s="1">
        <f t="shared" si="2"/>
        <v>29</v>
      </c>
      <c r="B110" s="27" t="s">
        <v>179</v>
      </c>
      <c r="C110" s="11">
        <f>765.4</f>
        <v>765.4</v>
      </c>
      <c r="D110" s="76">
        <f>C110/C80</f>
        <v>0.0058222914040873324</v>
      </c>
      <c r="E110" s="83"/>
    </row>
    <row r="111" spans="1:5" ht="27.75" customHeight="1">
      <c r="A111" s="1">
        <f t="shared" si="2"/>
        <v>30</v>
      </c>
      <c r="B111" s="45" t="s">
        <v>180</v>
      </c>
      <c r="C111" s="18">
        <f>693</f>
        <v>693</v>
      </c>
      <c r="D111" s="76">
        <f>C111/C80</f>
        <v>0.005271554668189864</v>
      </c>
      <c r="E111" s="83"/>
    </row>
    <row r="112" spans="1:5" ht="23.25" customHeight="1">
      <c r="A112" s="1">
        <f t="shared" si="2"/>
        <v>31</v>
      </c>
      <c r="B112" s="20" t="s">
        <v>181</v>
      </c>
      <c r="C112" s="18">
        <v>500</v>
      </c>
      <c r="D112" s="76">
        <f>C112/C80</f>
        <v>0.0038034304965294833</v>
      </c>
      <c r="E112" s="83"/>
    </row>
    <row r="113" spans="1:5" ht="27.75" customHeight="1">
      <c r="A113" s="1">
        <f t="shared" si="2"/>
        <v>32</v>
      </c>
      <c r="B113" s="24" t="s">
        <v>182</v>
      </c>
      <c r="C113" s="18">
        <f>269.6+223.7</f>
        <v>493.3</v>
      </c>
      <c r="D113" s="76">
        <f>C113/C80</f>
        <v>0.003752464527875988</v>
      </c>
      <c r="E113" s="83"/>
    </row>
    <row r="114" spans="1:5" ht="27.75" customHeight="1">
      <c r="A114" s="1">
        <f t="shared" si="2"/>
        <v>33</v>
      </c>
      <c r="B114" s="19" t="s">
        <v>183</v>
      </c>
      <c r="C114" s="18">
        <v>392.1</v>
      </c>
      <c r="D114" s="76">
        <f>C114/C80</f>
        <v>0.002982650195378421</v>
      </c>
      <c r="E114" s="83"/>
    </row>
    <row r="115" spans="1:5" ht="24" customHeight="1">
      <c r="A115" s="1">
        <f t="shared" si="2"/>
        <v>34</v>
      </c>
      <c r="B115" s="57" t="s">
        <v>42</v>
      </c>
      <c r="C115" s="18">
        <v>217</v>
      </c>
      <c r="D115" s="76">
        <f>C115/C80</f>
        <v>0.0016506888354937957</v>
      </c>
      <c r="E115" s="83"/>
    </row>
    <row r="116" spans="1:5" ht="21.75" customHeight="1">
      <c r="A116" s="93" t="s">
        <v>39</v>
      </c>
      <c r="B116" s="94"/>
      <c r="C116" s="16">
        <f>SUM(C118:C122)</f>
        <v>40893.1</v>
      </c>
      <c r="D116" s="77">
        <f>C116/C3</f>
        <v>0.04229857943196187</v>
      </c>
      <c r="E116" s="83"/>
    </row>
    <row r="117" spans="1:5" ht="25.5" customHeight="1">
      <c r="A117" s="2" t="s">
        <v>0</v>
      </c>
      <c r="B117" s="2" t="s">
        <v>24</v>
      </c>
      <c r="C117" s="3" t="s">
        <v>25</v>
      </c>
      <c r="D117" s="75" t="s">
        <v>1</v>
      </c>
      <c r="E117" s="83"/>
    </row>
    <row r="118" spans="1:5" ht="20.25" customHeight="1">
      <c r="A118" s="7">
        <v>1</v>
      </c>
      <c r="B118" s="38" t="s">
        <v>67</v>
      </c>
      <c r="C118" s="11">
        <v>18000</v>
      </c>
      <c r="D118" s="76">
        <f>C118/C116</f>
        <v>0.44017205836681494</v>
      </c>
      <c r="E118" s="83"/>
    </row>
    <row r="119" spans="1:5" ht="21" customHeight="1">
      <c r="A119" s="30">
        <f>A118+1</f>
        <v>2</v>
      </c>
      <c r="B119" s="46" t="s">
        <v>71</v>
      </c>
      <c r="C119" s="11">
        <v>12005.6</v>
      </c>
      <c r="D119" s="76">
        <f>C119/C116</f>
        <v>0.29358498132936856</v>
      </c>
      <c r="E119" s="83"/>
    </row>
    <row r="120" spans="1:5" ht="22.5" customHeight="1">
      <c r="A120" s="30">
        <f>A119+1</f>
        <v>3</v>
      </c>
      <c r="B120" s="51" t="s">
        <v>45</v>
      </c>
      <c r="C120" s="11">
        <v>4841</v>
      </c>
      <c r="D120" s="76">
        <f>C120/C116</f>
        <v>0.11838182969743062</v>
      </c>
      <c r="E120" s="83"/>
    </row>
    <row r="121" spans="1:5" ht="23.25" customHeight="1">
      <c r="A121" s="30">
        <f>A120+1</f>
        <v>4</v>
      </c>
      <c r="B121" s="46" t="s">
        <v>30</v>
      </c>
      <c r="C121" s="11">
        <f>1332+636.2+240.3+468+670+96</f>
        <v>3442.5</v>
      </c>
      <c r="D121" s="76">
        <f>C121/C116</f>
        <v>0.08418290616265336</v>
      </c>
      <c r="E121" s="83"/>
    </row>
    <row r="122" spans="1:5" ht="27.75" customHeight="1">
      <c r="A122" s="30">
        <f>A121+1</f>
        <v>5</v>
      </c>
      <c r="B122" s="38" t="s">
        <v>49</v>
      </c>
      <c r="C122" s="11">
        <v>2604</v>
      </c>
      <c r="D122" s="76">
        <f>C122/C116</f>
        <v>0.06367822444373257</v>
      </c>
      <c r="E122" s="83"/>
    </row>
    <row r="123" spans="1:5" ht="22.5" customHeight="1">
      <c r="A123" s="93" t="s">
        <v>27</v>
      </c>
      <c r="B123" s="94"/>
      <c r="C123" s="17">
        <f>SUM(C125:C142)</f>
        <v>82997.92000000001</v>
      </c>
      <c r="D123" s="79">
        <f>C123/C3</f>
        <v>0.08585052519392311</v>
      </c>
      <c r="E123" s="83"/>
    </row>
    <row r="124" spans="1:5" ht="25.5" customHeight="1">
      <c r="A124" s="2" t="s">
        <v>0</v>
      </c>
      <c r="B124" s="2" t="s">
        <v>24</v>
      </c>
      <c r="C124" s="3" t="s">
        <v>25</v>
      </c>
      <c r="D124" s="75" t="s">
        <v>1</v>
      </c>
      <c r="E124" s="84"/>
    </row>
    <row r="125" spans="1:5" ht="54" customHeight="1">
      <c r="A125" s="7">
        <v>1</v>
      </c>
      <c r="B125" s="45" t="s">
        <v>54</v>
      </c>
      <c r="C125" s="25">
        <f>5520+13790+396.3</f>
        <v>19706.3</v>
      </c>
      <c r="D125" s="76">
        <f>C125/C123</f>
        <v>0.23743125128918888</v>
      </c>
      <c r="E125" s="83"/>
    </row>
    <row r="126" spans="1:5" ht="43.5" customHeight="1">
      <c r="A126" s="7">
        <f>A125+1</f>
        <v>2</v>
      </c>
      <c r="B126" s="29" t="s">
        <v>66</v>
      </c>
      <c r="C126" s="25">
        <v>14648.9</v>
      </c>
      <c r="D126" s="76">
        <f>C126/C123</f>
        <v>0.17649719414655207</v>
      </c>
      <c r="E126" s="83"/>
    </row>
    <row r="127" spans="1:5" ht="33" customHeight="1">
      <c r="A127" s="7">
        <f aca="true" t="shared" si="3" ref="A127:A142">A126+1</f>
        <v>3</v>
      </c>
      <c r="B127" s="29" t="s">
        <v>53</v>
      </c>
      <c r="C127" s="25">
        <v>10288</v>
      </c>
      <c r="D127" s="76">
        <f>C127/C123</f>
        <v>0.12395491356891833</v>
      </c>
      <c r="E127" s="83"/>
    </row>
    <row r="128" spans="1:8" ht="34.5" customHeight="1">
      <c r="A128" s="7">
        <f t="shared" si="3"/>
        <v>4</v>
      </c>
      <c r="B128" s="47" t="s">
        <v>68</v>
      </c>
      <c r="C128" s="25">
        <f>2900+825.5+722.6</f>
        <v>4448.1</v>
      </c>
      <c r="D128" s="76">
        <f>C128/C123</f>
        <v>0.053592909316281655</v>
      </c>
      <c r="E128" s="85" t="s">
        <v>2</v>
      </c>
      <c r="F128" s="15"/>
      <c r="G128" s="15"/>
      <c r="H128" s="15"/>
    </row>
    <row r="129" spans="1:8" ht="33.75" customHeight="1">
      <c r="A129" s="7">
        <f t="shared" si="3"/>
        <v>5</v>
      </c>
      <c r="B129" s="54" t="s">
        <v>51</v>
      </c>
      <c r="C129" s="25">
        <v>4299</v>
      </c>
      <c r="D129" s="76">
        <f>C129/C123</f>
        <v>0.05179647875513024</v>
      </c>
      <c r="E129" s="85"/>
      <c r="F129" s="15"/>
      <c r="G129" s="15"/>
      <c r="H129" s="15"/>
    </row>
    <row r="130" spans="1:8" ht="32.25" customHeight="1">
      <c r="A130" s="7">
        <f t="shared" si="3"/>
        <v>6</v>
      </c>
      <c r="B130" s="47" t="s">
        <v>56</v>
      </c>
      <c r="C130" s="25">
        <f>2594+917</f>
        <v>3511</v>
      </c>
      <c r="D130" s="76">
        <f>C130/C123</f>
        <v>0.04230226492422942</v>
      </c>
      <c r="E130" s="85"/>
      <c r="F130" s="15"/>
      <c r="G130" s="15"/>
      <c r="H130" s="15"/>
    </row>
    <row r="131" spans="1:8" ht="30.75" customHeight="1">
      <c r="A131" s="7">
        <f t="shared" si="3"/>
        <v>7</v>
      </c>
      <c r="B131" s="52" t="s">
        <v>46</v>
      </c>
      <c r="C131" s="25">
        <f>3097.62</f>
        <v>3097.62</v>
      </c>
      <c r="D131" s="76">
        <f>C131/C123</f>
        <v>0.03732165818131345</v>
      </c>
      <c r="E131" s="85"/>
      <c r="F131" s="15"/>
      <c r="G131" s="15"/>
      <c r="H131" s="15"/>
    </row>
    <row r="132" spans="1:8" ht="46.5" customHeight="1">
      <c r="A132" s="7">
        <f t="shared" si="3"/>
        <v>8</v>
      </c>
      <c r="B132" s="54" t="s">
        <v>69</v>
      </c>
      <c r="C132" s="25">
        <f>2513.44+526.5</f>
        <v>3039.94</v>
      </c>
      <c r="D132" s="76">
        <f>C132/C123</f>
        <v>0.03662670100648305</v>
      </c>
      <c r="E132" s="85"/>
      <c r="F132" s="15"/>
      <c r="G132" s="15"/>
      <c r="H132" s="15"/>
    </row>
    <row r="133" spans="1:8" ht="22.5" customHeight="1">
      <c r="A133" s="7">
        <f t="shared" si="3"/>
        <v>9</v>
      </c>
      <c r="B133" s="29" t="s">
        <v>64</v>
      </c>
      <c r="C133" s="25">
        <v>2900</v>
      </c>
      <c r="D133" s="76">
        <f>C133/C123</f>
        <v>0.0349406346568685</v>
      </c>
      <c r="E133" s="85"/>
      <c r="F133" s="15"/>
      <c r="G133" s="15"/>
      <c r="H133" s="15"/>
    </row>
    <row r="134" spans="1:8" ht="29.25" customHeight="1">
      <c r="A134" s="7">
        <f t="shared" si="3"/>
        <v>10</v>
      </c>
      <c r="B134" s="45" t="s">
        <v>82</v>
      </c>
      <c r="C134" s="25">
        <v>2900</v>
      </c>
      <c r="D134" s="76">
        <f>C134/C123</f>
        <v>0.0349406346568685</v>
      </c>
      <c r="E134" s="85"/>
      <c r="F134" s="15"/>
      <c r="G134" s="15"/>
      <c r="H134" s="15"/>
    </row>
    <row r="135" spans="1:8" ht="29.25" customHeight="1">
      <c r="A135" s="7">
        <f t="shared" si="3"/>
        <v>11</v>
      </c>
      <c r="B135" s="63" t="s">
        <v>73</v>
      </c>
      <c r="C135" s="25">
        <v>2900</v>
      </c>
      <c r="D135" s="76">
        <f>C135/C123</f>
        <v>0.0349406346568685</v>
      </c>
      <c r="E135" s="85"/>
      <c r="F135" s="15"/>
      <c r="G135" s="15"/>
      <c r="H135" s="15"/>
    </row>
    <row r="136" spans="1:8" ht="33.75" customHeight="1">
      <c r="A136" s="7">
        <f t="shared" si="3"/>
        <v>12</v>
      </c>
      <c r="B136" s="29" t="s">
        <v>74</v>
      </c>
      <c r="C136" s="25">
        <v>2850.47</v>
      </c>
      <c r="D136" s="76">
        <f>C136/C123</f>
        <v>0.03434387271391861</v>
      </c>
      <c r="E136" s="85"/>
      <c r="F136" s="34"/>
      <c r="G136" s="15"/>
      <c r="H136" s="15"/>
    </row>
    <row r="137" spans="1:8" ht="40.5" customHeight="1">
      <c r="A137" s="7">
        <f t="shared" si="3"/>
        <v>13</v>
      </c>
      <c r="B137" s="54" t="s">
        <v>52</v>
      </c>
      <c r="C137" s="25">
        <f>885.5+1840.49</f>
        <v>2725.99</v>
      </c>
      <c r="D137" s="76">
        <f>C137/C123</f>
        <v>0.0328440760925093</v>
      </c>
      <c r="E137" s="85"/>
      <c r="F137" s="34"/>
      <c r="G137" s="15"/>
      <c r="H137" s="15"/>
    </row>
    <row r="138" spans="1:8" ht="22.5" customHeight="1">
      <c r="A138" s="7">
        <f t="shared" si="3"/>
        <v>14</v>
      </c>
      <c r="B138" s="29" t="s">
        <v>58</v>
      </c>
      <c r="C138" s="25">
        <f>1573.1+894.4</f>
        <v>2467.5</v>
      </c>
      <c r="D138" s="76">
        <f>C138/C123</f>
        <v>0.02972966069511139</v>
      </c>
      <c r="E138" s="85"/>
      <c r="F138" s="34"/>
      <c r="G138" s="15"/>
      <c r="H138" s="15"/>
    </row>
    <row r="139" spans="1:8" ht="38.25" customHeight="1">
      <c r="A139" s="7">
        <f t="shared" si="3"/>
        <v>15</v>
      </c>
      <c r="B139" s="64" t="s">
        <v>70</v>
      </c>
      <c r="C139" s="25">
        <v>2300</v>
      </c>
      <c r="D139" s="76">
        <f>C139/C123</f>
        <v>0.027711537831309502</v>
      </c>
      <c r="E139" s="85"/>
      <c r="F139" s="34"/>
      <c r="G139" s="15"/>
      <c r="H139" s="15"/>
    </row>
    <row r="140" spans="1:8" ht="26.25" customHeight="1">
      <c r="A140" s="7">
        <f t="shared" si="3"/>
        <v>16</v>
      </c>
      <c r="B140" s="38" t="s">
        <v>59</v>
      </c>
      <c r="C140" s="25">
        <v>375.3</v>
      </c>
      <c r="D140" s="76">
        <f>C140/C123</f>
        <v>0.004521800064387155</v>
      </c>
      <c r="E140" s="85"/>
      <c r="F140" s="34"/>
      <c r="G140" s="15"/>
      <c r="H140" s="15"/>
    </row>
    <row r="141" spans="1:8" ht="30" customHeight="1">
      <c r="A141" s="7">
        <f t="shared" si="3"/>
        <v>17</v>
      </c>
      <c r="B141" s="45" t="s">
        <v>43</v>
      </c>
      <c r="C141" s="25">
        <f>335</f>
        <v>335</v>
      </c>
      <c r="D141" s="76">
        <f>C141/C123</f>
        <v>0.004036245727603776</v>
      </c>
      <c r="E141" s="85"/>
      <c r="F141" s="34"/>
      <c r="G141" s="15"/>
      <c r="H141" s="15"/>
    </row>
    <row r="142" spans="1:8" ht="32.25" customHeight="1">
      <c r="A142" s="7">
        <f t="shared" si="3"/>
        <v>18</v>
      </c>
      <c r="B142" s="47" t="s">
        <v>57</v>
      </c>
      <c r="C142" s="25">
        <v>204.8</v>
      </c>
      <c r="D142" s="76">
        <f>C142/C123</f>
        <v>0.0024675317164574726</v>
      </c>
      <c r="E142" s="85"/>
      <c r="F142" s="34"/>
      <c r="G142" s="15"/>
      <c r="H142" s="15"/>
    </row>
    <row r="143" spans="1:5" ht="30" customHeight="1">
      <c r="A143" s="86" t="s">
        <v>28</v>
      </c>
      <c r="B143" s="87"/>
      <c r="C143" s="42">
        <f>SUM(C145:C153)</f>
        <v>113427.28</v>
      </c>
      <c r="D143" s="80">
        <f>C143/C3</f>
        <v>0.11732573008237038</v>
      </c>
      <c r="E143" s="83"/>
    </row>
    <row r="144" spans="1:5" ht="30" customHeight="1">
      <c r="A144" s="2" t="s">
        <v>0</v>
      </c>
      <c r="B144" s="2" t="s">
        <v>24</v>
      </c>
      <c r="C144" s="3" t="s">
        <v>25</v>
      </c>
      <c r="D144" s="75" t="s">
        <v>1</v>
      </c>
      <c r="E144" s="83"/>
    </row>
    <row r="145" spans="1:5" ht="40.5" customHeight="1">
      <c r="A145" s="41">
        <v>1</v>
      </c>
      <c r="B145" s="14" t="s">
        <v>79</v>
      </c>
      <c r="C145" s="43">
        <v>80093.09</v>
      </c>
      <c r="D145" s="81">
        <f>C145/C143</f>
        <v>0.7061184046730204</v>
      </c>
      <c r="E145" s="83"/>
    </row>
    <row r="146" spans="1:5" ht="33" customHeight="1">
      <c r="A146" s="41">
        <f aca="true" t="shared" si="4" ref="A146:A153">A145+1</f>
        <v>2</v>
      </c>
      <c r="B146" s="12" t="s">
        <v>31</v>
      </c>
      <c r="C146" s="43">
        <v>17620.49</v>
      </c>
      <c r="D146" s="81">
        <f>C146/C143</f>
        <v>0.1553461389535216</v>
      </c>
      <c r="E146" s="83"/>
    </row>
    <row r="147" spans="1:5" ht="44.25" customHeight="1">
      <c r="A147" s="41">
        <f t="shared" si="4"/>
        <v>3</v>
      </c>
      <c r="B147" s="55" t="s">
        <v>47</v>
      </c>
      <c r="C147" s="43">
        <f>5000+5000</f>
        <v>10000</v>
      </c>
      <c r="D147" s="81">
        <f>C147/C143</f>
        <v>0.08816221282922415</v>
      </c>
      <c r="E147" s="83"/>
    </row>
    <row r="148" spans="1:5" ht="33" customHeight="1">
      <c r="A148" s="41">
        <f t="shared" si="4"/>
        <v>4</v>
      </c>
      <c r="B148" s="38" t="s">
        <v>77</v>
      </c>
      <c r="C148" s="43">
        <f>1050+1050</f>
        <v>2100</v>
      </c>
      <c r="D148" s="81">
        <f>C148/C143</f>
        <v>0.01851406469413707</v>
      </c>
      <c r="E148" s="83"/>
    </row>
    <row r="149" spans="1:5" ht="37.5" customHeight="1">
      <c r="A149" s="41">
        <f t="shared" si="4"/>
        <v>5</v>
      </c>
      <c r="B149" s="54" t="s">
        <v>50</v>
      </c>
      <c r="C149" s="43">
        <f>160+1340</f>
        <v>1500</v>
      </c>
      <c r="D149" s="81">
        <f>C149/C143</f>
        <v>0.013224331924383622</v>
      </c>
      <c r="E149" s="83"/>
    </row>
    <row r="150" spans="1:5" ht="30" customHeight="1">
      <c r="A150" s="41">
        <f t="shared" si="4"/>
        <v>6</v>
      </c>
      <c r="B150" s="44" t="s">
        <v>75</v>
      </c>
      <c r="C150" s="43">
        <f>240+996</f>
        <v>1236</v>
      </c>
      <c r="D150" s="81">
        <f>C150/C143</f>
        <v>0.010896849505692105</v>
      </c>
      <c r="E150" s="83"/>
    </row>
    <row r="151" spans="1:5" ht="30" customHeight="1">
      <c r="A151" s="41">
        <f t="shared" si="4"/>
        <v>7</v>
      </c>
      <c r="B151" s="68" t="s">
        <v>62</v>
      </c>
      <c r="C151" s="43">
        <v>547</v>
      </c>
      <c r="D151" s="81">
        <f>C151/C143</f>
        <v>0.004822473041758561</v>
      </c>
      <c r="E151" s="83"/>
    </row>
    <row r="152" spans="1:5" ht="24.75" customHeight="1">
      <c r="A152" s="41">
        <f t="shared" si="4"/>
        <v>8</v>
      </c>
      <c r="B152" s="29" t="s">
        <v>81</v>
      </c>
      <c r="C152" s="43">
        <v>300</v>
      </c>
      <c r="D152" s="81">
        <f>C152/C143</f>
        <v>0.0026448663848767247</v>
      </c>
      <c r="E152" s="83"/>
    </row>
    <row r="153" spans="1:11" ht="31.5" customHeight="1">
      <c r="A153" s="41">
        <f t="shared" si="4"/>
        <v>9</v>
      </c>
      <c r="B153" s="29" t="s">
        <v>61</v>
      </c>
      <c r="C153" s="43">
        <v>30.7</v>
      </c>
      <c r="D153" s="81">
        <f>C153/C143</f>
        <v>0.00027065799338571813</v>
      </c>
      <c r="E153" s="83"/>
      <c r="J153" s="89"/>
      <c r="K153" s="89"/>
    </row>
    <row r="154" spans="1:6" ht="30.75" customHeight="1">
      <c r="A154" s="88" t="s">
        <v>29</v>
      </c>
      <c r="B154" s="88"/>
      <c r="C154" s="40">
        <f>SUM(C156:C172)</f>
        <v>103022.5</v>
      </c>
      <c r="D154" s="82">
        <f>C154/C3</f>
        <v>0.10656334197038844</v>
      </c>
      <c r="E154" s="83"/>
      <c r="F154" s="39"/>
    </row>
    <row r="155" spans="1:12" ht="25.5">
      <c r="A155" s="2" t="s">
        <v>0</v>
      </c>
      <c r="B155" s="2" t="s">
        <v>24</v>
      </c>
      <c r="C155" s="3" t="s">
        <v>25</v>
      </c>
      <c r="D155" s="75" t="s">
        <v>1</v>
      </c>
      <c r="E155" s="83"/>
      <c r="G155" s="39"/>
      <c r="H155" s="66"/>
      <c r="I155" s="66"/>
      <c r="J155" s="39"/>
      <c r="K155" s="39"/>
      <c r="L155" s="66"/>
    </row>
    <row r="156" spans="1:12" ht="19.5" customHeight="1">
      <c r="A156" s="1">
        <v>1</v>
      </c>
      <c r="B156" s="12" t="s">
        <v>80</v>
      </c>
      <c r="C156" s="18">
        <v>68107.92</v>
      </c>
      <c r="D156" s="76">
        <f>C156/C154</f>
        <v>0.6610975272391953</v>
      </c>
      <c r="E156" s="83"/>
      <c r="F156" s="4"/>
      <c r="G156" s="39"/>
      <c r="H156" s="66"/>
      <c r="I156" s="66"/>
      <c r="J156" s="39"/>
      <c r="K156" s="66"/>
      <c r="L156" s="66"/>
    </row>
    <row r="157" spans="1:12" ht="19.5" customHeight="1">
      <c r="A157" s="1">
        <f aca="true" t="shared" si="5" ref="A157:A172">A156+1</f>
        <v>2</v>
      </c>
      <c r="B157" s="31" t="s">
        <v>31</v>
      </c>
      <c r="C157" s="33">
        <v>15152.29</v>
      </c>
      <c r="D157" s="76">
        <f>C157/C154</f>
        <v>0.14707748307408577</v>
      </c>
      <c r="E157" s="83"/>
      <c r="G157" s="39"/>
      <c r="H157" s="66"/>
      <c r="I157" s="66"/>
      <c r="J157" s="39"/>
      <c r="K157" s="39"/>
      <c r="L157" s="66"/>
    </row>
    <row r="158" spans="1:12" ht="24.75" customHeight="1">
      <c r="A158" s="1">
        <f t="shared" si="5"/>
        <v>3</v>
      </c>
      <c r="B158" s="65" t="s">
        <v>60</v>
      </c>
      <c r="C158" s="18">
        <v>6600</v>
      </c>
      <c r="D158" s="76">
        <f>C158/C154</f>
        <v>0.06406367541071126</v>
      </c>
      <c r="E158" s="83"/>
      <c r="G158" s="39"/>
      <c r="H158" s="66"/>
      <c r="I158" s="66"/>
      <c r="J158" s="39"/>
      <c r="K158" s="39"/>
      <c r="L158" s="66"/>
    </row>
    <row r="159" spans="1:12" ht="24" customHeight="1">
      <c r="A159" s="1">
        <f t="shared" si="5"/>
        <v>4</v>
      </c>
      <c r="B159" s="71" t="s">
        <v>41</v>
      </c>
      <c r="C159" s="18">
        <f>212.27+404.21+219.88+376.23+189.63+245.57+146.41+59.04+101.24+112.64+155.22+163.22+182.13+170.27+146.16+272.44+178.6+607.39+270.33</f>
        <v>4212.88</v>
      </c>
      <c r="D159" s="76">
        <f>C159/C154</f>
        <v>0.04089281467640564</v>
      </c>
      <c r="E159" s="83"/>
      <c r="G159" s="39"/>
      <c r="H159" s="66"/>
      <c r="I159" s="66"/>
      <c r="J159" s="39"/>
      <c r="K159" s="39"/>
      <c r="L159" s="66"/>
    </row>
    <row r="160" spans="1:12" ht="19.5" customHeight="1">
      <c r="A160" s="1">
        <f t="shared" si="5"/>
        <v>5</v>
      </c>
      <c r="B160" s="12" t="s">
        <v>32</v>
      </c>
      <c r="C160" s="18">
        <f>109.76+245.17+188.86+85.88+135.1+96.21+147.29+137.99+171.82+293.28+488.29+5.5+618.23</f>
        <v>2723.38</v>
      </c>
      <c r="D160" s="76">
        <f>C160/C154</f>
        <v>0.02643480793030649</v>
      </c>
      <c r="E160" s="83"/>
      <c r="G160" s="39"/>
      <c r="H160" s="66"/>
      <c r="I160" s="66"/>
      <c r="J160" s="39"/>
      <c r="K160" s="39"/>
      <c r="L160" s="66"/>
    </row>
    <row r="161" spans="1:12" ht="27.75" customHeight="1">
      <c r="A161" s="1">
        <f t="shared" si="5"/>
        <v>6</v>
      </c>
      <c r="B161" s="29" t="s">
        <v>55</v>
      </c>
      <c r="C161" s="18">
        <v>2200</v>
      </c>
      <c r="D161" s="76">
        <f>C161/C154</f>
        <v>0.021354558470237085</v>
      </c>
      <c r="E161" s="83"/>
      <c r="G161" s="66"/>
      <c r="H161" s="66"/>
      <c r="I161" s="66"/>
      <c r="J161" s="39"/>
      <c r="K161" s="66"/>
      <c r="L161" s="66"/>
    </row>
    <row r="162" spans="1:12" ht="19.5" customHeight="1">
      <c r="A162" s="1">
        <f t="shared" si="5"/>
        <v>7</v>
      </c>
      <c r="B162" s="46" t="s">
        <v>34</v>
      </c>
      <c r="C162" s="18">
        <f>50+75+65+57+40+41+46+271+89+36+66</f>
        <v>836</v>
      </c>
      <c r="D162" s="76">
        <f>C162/C154</f>
        <v>0.008114732218690092</v>
      </c>
      <c r="E162" s="83"/>
      <c r="G162" s="67"/>
      <c r="H162" s="66"/>
      <c r="I162" s="66"/>
      <c r="J162" s="39"/>
      <c r="K162" s="66"/>
      <c r="L162" s="66"/>
    </row>
    <row r="163" spans="1:12" ht="41.25" customHeight="1">
      <c r="A163" s="1">
        <f t="shared" si="5"/>
        <v>8</v>
      </c>
      <c r="B163" s="72" t="s">
        <v>40</v>
      </c>
      <c r="C163" s="59">
        <f>498+249</f>
        <v>747</v>
      </c>
      <c r="D163" s="76">
        <f>C163/C154</f>
        <v>0.0072508432623941375</v>
      </c>
      <c r="E163" s="83"/>
      <c r="G163" s="39"/>
      <c r="H163" s="66"/>
      <c r="I163" s="66"/>
      <c r="J163" s="39"/>
      <c r="K163" s="66"/>
      <c r="L163" s="66"/>
    </row>
    <row r="164" spans="1:12" ht="24" customHeight="1">
      <c r="A164" s="1">
        <f t="shared" si="5"/>
        <v>9</v>
      </c>
      <c r="B164" s="32" t="s">
        <v>44</v>
      </c>
      <c r="C164" s="18">
        <f>650</f>
        <v>650</v>
      </c>
      <c r="D164" s="76">
        <f>C164/C154</f>
        <v>0.006309301366206411</v>
      </c>
      <c r="E164" s="83"/>
      <c r="G164" s="39"/>
      <c r="H164" s="66"/>
      <c r="I164" s="66"/>
      <c r="J164" s="39"/>
      <c r="K164" s="66"/>
      <c r="L164" s="66"/>
    </row>
    <row r="165" spans="1:12" ht="27" customHeight="1">
      <c r="A165" s="1">
        <f t="shared" si="5"/>
        <v>10</v>
      </c>
      <c r="B165" s="56" t="s">
        <v>23</v>
      </c>
      <c r="C165" s="18">
        <f>39.72+39.72+158.88+39.72+79.44+39.72+39.72+79.44</f>
        <v>516.3599999999999</v>
      </c>
      <c r="D165" s="76">
        <f>C165/C154</f>
        <v>0.005012109005314372</v>
      </c>
      <c r="E165" s="83"/>
      <c r="G165" s="39"/>
      <c r="H165" s="66"/>
      <c r="I165" s="66"/>
      <c r="J165" s="39"/>
      <c r="K165" s="66"/>
      <c r="L165" s="66"/>
    </row>
    <row r="166" spans="1:5" ht="27.75" customHeight="1">
      <c r="A166" s="1">
        <f t="shared" si="5"/>
        <v>11</v>
      </c>
      <c r="B166" s="47" t="s">
        <v>78</v>
      </c>
      <c r="C166" s="18">
        <v>360.8</v>
      </c>
      <c r="D166" s="76">
        <f>C166/C154</f>
        <v>0.003502147589118882</v>
      </c>
      <c r="E166" s="83"/>
    </row>
    <row r="167" spans="1:12" ht="27.75" customHeight="1">
      <c r="A167" s="1">
        <f t="shared" si="5"/>
        <v>12</v>
      </c>
      <c r="B167" s="69" t="s">
        <v>76</v>
      </c>
      <c r="C167" s="11">
        <f>66.98+57.04+51.33+35.32+118.31</f>
        <v>328.98</v>
      </c>
      <c r="D167" s="76">
        <f>C167/C154</f>
        <v>0.003193283020699362</v>
      </c>
      <c r="E167" s="83"/>
      <c r="H167" s="4"/>
      <c r="I167" s="4"/>
      <c r="J167" s="4"/>
      <c r="K167" s="4"/>
      <c r="L167" s="4"/>
    </row>
    <row r="168" spans="1:5" ht="30" customHeight="1">
      <c r="A168" s="1">
        <f t="shared" si="5"/>
        <v>13</v>
      </c>
      <c r="B168" s="70" t="s">
        <v>22</v>
      </c>
      <c r="C168" s="18">
        <f>19.79+22.32+22.64+22.64+22.64+22.64+22.64+22.64+22.64+22.64+22.64+22.64</f>
        <v>268.50999999999993</v>
      </c>
      <c r="D168" s="76">
        <f>C168/C154</f>
        <v>0.0026063238612924356</v>
      </c>
      <c r="E168" s="83"/>
    </row>
    <row r="169" spans="1:5" ht="30.75" customHeight="1">
      <c r="A169" s="1">
        <f t="shared" si="5"/>
        <v>14</v>
      </c>
      <c r="B169" s="31" t="s">
        <v>72</v>
      </c>
      <c r="C169" s="18">
        <v>169</v>
      </c>
      <c r="D169" s="76">
        <f>C169/C154</f>
        <v>0.001640418355213667</v>
      </c>
      <c r="E169" s="83"/>
    </row>
    <row r="170" spans="1:5" ht="22.5" customHeight="1">
      <c r="A170" s="1">
        <f t="shared" si="5"/>
        <v>15</v>
      </c>
      <c r="B170" s="32" t="s">
        <v>33</v>
      </c>
      <c r="C170" s="18">
        <f>42.19+42.19</f>
        <v>84.38</v>
      </c>
      <c r="D170" s="76">
        <f>C170/C154</f>
        <v>0.0008190443835084569</v>
      </c>
      <c r="E170" s="83"/>
    </row>
    <row r="171" spans="1:5" ht="25.5" customHeight="1">
      <c r="A171" s="1">
        <f t="shared" si="5"/>
        <v>16</v>
      </c>
      <c r="B171" s="14" t="s">
        <v>63</v>
      </c>
      <c r="C171" s="13">
        <v>64</v>
      </c>
      <c r="D171" s="76">
        <f>C171/C154</f>
        <v>0.0006212235191341697</v>
      </c>
      <c r="E171" s="83"/>
    </row>
    <row r="172" spans="1:5" ht="22.5" customHeight="1">
      <c r="A172" s="1">
        <f t="shared" si="5"/>
        <v>17</v>
      </c>
      <c r="B172" s="22" t="s">
        <v>65</v>
      </c>
      <c r="C172" s="18">
        <v>1</v>
      </c>
      <c r="D172" s="76">
        <f>C172/C154</f>
        <v>9.706617486471402E-06</v>
      </c>
      <c r="E172" s="83"/>
    </row>
  </sheetData>
  <sheetProtection/>
  <mergeCells count="12">
    <mergeCell ref="A7:B7"/>
    <mergeCell ref="A4:B4"/>
    <mergeCell ref="A143:B143"/>
    <mergeCell ref="A154:B154"/>
    <mergeCell ref="J153:K153"/>
    <mergeCell ref="A1:D1"/>
    <mergeCell ref="A2:D2"/>
    <mergeCell ref="A3:B3"/>
    <mergeCell ref="A123:B123"/>
    <mergeCell ref="A80:B80"/>
    <mergeCell ref="A35:B35"/>
    <mergeCell ref="A116:B116"/>
  </mergeCells>
  <printOptions/>
  <pageMargins left="0.7" right="0.7" top="0.75" bottom="0.75" header="0.3" footer="0.3"/>
  <pageSetup horizontalDpi="600" verticalDpi="600" orientation="portrait" paperSize="9" scale="92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1" sqref="A1:A27"/>
    </sheetView>
  </sheetViews>
  <sheetFormatPr defaultColWidth="9.00390625" defaultRowHeight="12.75"/>
  <cols>
    <col min="7" max="7" width="10.50390625" style="0" customWidth="1"/>
  </cols>
  <sheetData>
    <row r="1" spans="1:5" ht="12">
      <c r="A1">
        <v>2607.74</v>
      </c>
      <c r="B1">
        <v>583.1</v>
      </c>
      <c r="C1">
        <v>48.6</v>
      </c>
      <c r="D1" s="35">
        <f>A1+B1+C1</f>
        <v>3239.4399999999996</v>
      </c>
      <c r="E1" s="37">
        <f>D1*22/100</f>
        <v>712.6768</v>
      </c>
    </row>
    <row r="2" spans="1:5" ht="12">
      <c r="A2">
        <v>3853.64</v>
      </c>
      <c r="B2">
        <v>861.69</v>
      </c>
      <c r="C2">
        <v>71.81</v>
      </c>
      <c r="D2" s="36">
        <f aca="true" t="shared" si="0" ref="D2:D27">A2+B2+C2</f>
        <v>4787.14</v>
      </c>
      <c r="E2" s="37">
        <f aca="true" t="shared" si="1" ref="E2:E27">D2*22/100</f>
        <v>1053.1708</v>
      </c>
    </row>
    <row r="3" spans="1:5" ht="12">
      <c r="A3">
        <v>4239.02</v>
      </c>
      <c r="B3">
        <v>947.85</v>
      </c>
      <c r="C3">
        <v>78.99</v>
      </c>
      <c r="D3" s="36">
        <f t="shared" si="0"/>
        <v>5265.860000000001</v>
      </c>
      <c r="E3" s="37">
        <f t="shared" si="1"/>
        <v>1158.4892000000002</v>
      </c>
    </row>
    <row r="4" spans="1:5" ht="12">
      <c r="A4">
        <v>1273.74</v>
      </c>
      <c r="B4">
        <v>284.81</v>
      </c>
      <c r="C4">
        <v>23.73</v>
      </c>
      <c r="D4" s="36">
        <f t="shared" si="0"/>
        <v>1582.28</v>
      </c>
      <c r="E4" s="37">
        <f t="shared" si="1"/>
        <v>348.10159999999996</v>
      </c>
    </row>
    <row r="5" spans="1:5" ht="12">
      <c r="A5">
        <v>4182.59</v>
      </c>
      <c r="B5">
        <v>935.24</v>
      </c>
      <c r="C5">
        <v>77.94</v>
      </c>
      <c r="D5" s="36">
        <f t="shared" si="0"/>
        <v>5195.7699999999995</v>
      </c>
      <c r="E5" s="37">
        <f t="shared" si="1"/>
        <v>1143.0693999999999</v>
      </c>
    </row>
    <row r="6" spans="1:7" ht="12">
      <c r="A6">
        <v>1838.18</v>
      </c>
      <c r="B6">
        <v>411.03</v>
      </c>
      <c r="C6">
        <v>34.25</v>
      </c>
      <c r="D6" s="36">
        <f t="shared" si="0"/>
        <v>2283.46</v>
      </c>
      <c r="E6" s="37">
        <f t="shared" si="1"/>
        <v>502.36120000000005</v>
      </c>
      <c r="F6">
        <v>525.17</v>
      </c>
      <c r="G6" s="4">
        <f>F6-E6</f>
        <v>22.808799999999906</v>
      </c>
    </row>
    <row r="7" spans="1:7" ht="12">
      <c r="A7">
        <v>3374.76</v>
      </c>
      <c r="B7">
        <v>754.61</v>
      </c>
      <c r="C7">
        <v>62.88</v>
      </c>
      <c r="D7" s="36">
        <f t="shared" si="0"/>
        <v>4192.25</v>
      </c>
      <c r="E7" s="37">
        <f t="shared" si="1"/>
        <v>922.295</v>
      </c>
      <c r="F7">
        <v>922.29</v>
      </c>
      <c r="G7" s="4">
        <f>F7-E7</f>
        <v>-0.0049999999999954525</v>
      </c>
    </row>
    <row r="8" spans="1:5" ht="12">
      <c r="A8">
        <v>3876.74</v>
      </c>
      <c r="B8">
        <v>866.84</v>
      </c>
      <c r="C8">
        <v>72.24</v>
      </c>
      <c r="D8" s="36">
        <f t="shared" si="0"/>
        <v>4815.82</v>
      </c>
      <c r="E8" s="37">
        <f t="shared" si="1"/>
        <v>1059.4804</v>
      </c>
    </row>
    <row r="9" spans="1:5" ht="12">
      <c r="A9">
        <v>4259.31</v>
      </c>
      <c r="B9">
        <v>952.39</v>
      </c>
      <c r="C9">
        <v>79.36</v>
      </c>
      <c r="D9" s="36">
        <f t="shared" si="0"/>
        <v>5291.06</v>
      </c>
      <c r="E9" s="37">
        <f t="shared" si="1"/>
        <v>1164.0332</v>
      </c>
    </row>
    <row r="10" spans="1:5" ht="12">
      <c r="A10">
        <v>3833.35</v>
      </c>
      <c r="B10">
        <v>857.15</v>
      </c>
      <c r="C10">
        <v>71.44</v>
      </c>
      <c r="D10" s="36">
        <f t="shared" si="0"/>
        <v>4761.94</v>
      </c>
      <c r="E10" s="37">
        <f t="shared" si="1"/>
        <v>1047.6268</v>
      </c>
    </row>
    <row r="11" spans="1:7" ht="12">
      <c r="A11">
        <v>4192.6</v>
      </c>
      <c r="B11">
        <v>937.47</v>
      </c>
      <c r="C11">
        <v>78.12</v>
      </c>
      <c r="D11" s="36">
        <f t="shared" si="0"/>
        <v>5208.1900000000005</v>
      </c>
      <c r="E11" s="37">
        <f t="shared" si="1"/>
        <v>1145.8018000000002</v>
      </c>
      <c r="F11">
        <v>1171.8</v>
      </c>
      <c r="G11" s="4">
        <f>F11-E11</f>
        <v>25.99819999999977</v>
      </c>
    </row>
    <row r="12" spans="1:7" ht="12">
      <c r="A12">
        <v>3900.06</v>
      </c>
      <c r="B12">
        <v>872.07</v>
      </c>
      <c r="C12">
        <v>72.68</v>
      </c>
      <c r="D12" s="36">
        <f t="shared" si="0"/>
        <v>4844.81</v>
      </c>
      <c r="E12" s="37">
        <f t="shared" si="1"/>
        <v>1065.8582000000001</v>
      </c>
      <c r="F12">
        <v>1039.86</v>
      </c>
      <c r="G12" s="4">
        <f>F12-E12</f>
        <v>-25.998200000000224</v>
      </c>
    </row>
    <row r="13" spans="1:5" ht="12">
      <c r="A13">
        <v>4478.95</v>
      </c>
      <c r="B13">
        <v>1001.51</v>
      </c>
      <c r="C13">
        <v>83.46</v>
      </c>
      <c r="D13" s="36">
        <f t="shared" si="0"/>
        <v>5563.92</v>
      </c>
      <c r="E13" s="37">
        <f t="shared" si="1"/>
        <v>1224.0624</v>
      </c>
    </row>
    <row r="14" spans="1:5" ht="12">
      <c r="A14">
        <v>3613.71</v>
      </c>
      <c r="B14">
        <v>808.03</v>
      </c>
      <c r="C14">
        <v>67.34</v>
      </c>
      <c r="D14" s="36">
        <f t="shared" si="0"/>
        <v>4489.08</v>
      </c>
      <c r="E14" s="37">
        <f t="shared" si="1"/>
        <v>987.5975999999999</v>
      </c>
    </row>
    <row r="15" spans="1:5" ht="12">
      <c r="A15">
        <v>965.74</v>
      </c>
      <c r="B15">
        <v>215.94</v>
      </c>
      <c r="C15">
        <v>18</v>
      </c>
      <c r="D15" s="36">
        <f t="shared" si="0"/>
        <v>1199.68</v>
      </c>
      <c r="E15" s="37">
        <f t="shared" si="1"/>
        <v>263.92960000000005</v>
      </c>
    </row>
    <row r="16" spans="1:5" ht="12">
      <c r="A16">
        <v>1941.95</v>
      </c>
      <c r="B16">
        <v>434.22</v>
      </c>
      <c r="C16">
        <v>36.19</v>
      </c>
      <c r="D16" s="36">
        <f t="shared" si="0"/>
        <v>2412.36</v>
      </c>
      <c r="E16" s="37">
        <f t="shared" si="1"/>
        <v>530.7192</v>
      </c>
    </row>
    <row r="17" spans="1:5" ht="12">
      <c r="A17">
        <v>2304.24</v>
      </c>
      <c r="B17">
        <v>515.23</v>
      </c>
      <c r="C17">
        <v>42.94</v>
      </c>
      <c r="D17" s="36">
        <f t="shared" si="0"/>
        <v>2862.41</v>
      </c>
      <c r="E17" s="37">
        <f t="shared" si="1"/>
        <v>629.7302</v>
      </c>
    </row>
    <row r="18" spans="1:7" ht="12">
      <c r="A18">
        <v>2109.95</v>
      </c>
      <c r="B18">
        <v>471.79</v>
      </c>
      <c r="C18">
        <v>39.3</v>
      </c>
      <c r="D18" s="36">
        <f t="shared" si="0"/>
        <v>2621.04</v>
      </c>
      <c r="E18" s="37">
        <f t="shared" si="1"/>
        <v>576.6288</v>
      </c>
      <c r="F18">
        <v>626.3</v>
      </c>
      <c r="G18" s="4">
        <f>F18-E18</f>
        <v>49.6712</v>
      </c>
    </row>
    <row r="19" spans="1:5" ht="12">
      <c r="A19">
        <v>4069.45</v>
      </c>
      <c r="B19">
        <v>909.94</v>
      </c>
      <c r="C19">
        <v>75.83</v>
      </c>
      <c r="D19" s="36">
        <f t="shared" si="0"/>
        <v>5055.219999999999</v>
      </c>
      <c r="E19" s="37">
        <f t="shared" si="1"/>
        <v>1112.1483999999998</v>
      </c>
    </row>
    <row r="20" spans="1:5" ht="12">
      <c r="A20">
        <v>4023.21</v>
      </c>
      <c r="B20">
        <v>899.6</v>
      </c>
      <c r="C20">
        <v>74.97</v>
      </c>
      <c r="D20" s="36">
        <f t="shared" si="0"/>
        <v>4997.780000000001</v>
      </c>
      <c r="E20" s="37">
        <f t="shared" si="1"/>
        <v>1099.5116000000003</v>
      </c>
    </row>
    <row r="21" spans="1:5" ht="12">
      <c r="A21">
        <v>4046.33</v>
      </c>
      <c r="B21">
        <v>904.77</v>
      </c>
      <c r="C21">
        <v>75.4</v>
      </c>
      <c r="D21" s="36">
        <f t="shared" si="0"/>
        <v>5026.5</v>
      </c>
      <c r="E21" s="37">
        <f t="shared" si="1"/>
        <v>1105.83</v>
      </c>
    </row>
    <row r="22" spans="1:5" ht="12">
      <c r="A22">
        <v>4046.33</v>
      </c>
      <c r="B22">
        <v>904.77</v>
      </c>
      <c r="C22">
        <v>75.4</v>
      </c>
      <c r="D22" s="36">
        <f t="shared" si="0"/>
        <v>5026.5</v>
      </c>
      <c r="E22" s="37">
        <f t="shared" si="1"/>
        <v>1105.83</v>
      </c>
    </row>
    <row r="23" spans="1:5" ht="12">
      <c r="A23">
        <v>3788.6</v>
      </c>
      <c r="B23">
        <v>847.14</v>
      </c>
      <c r="C23">
        <v>70.59</v>
      </c>
      <c r="D23" s="36">
        <f t="shared" si="0"/>
        <v>4706.33</v>
      </c>
      <c r="E23" s="37">
        <f t="shared" si="1"/>
        <v>1035.3926</v>
      </c>
    </row>
    <row r="24" spans="1:5" ht="12">
      <c r="A24">
        <v>4046.33</v>
      </c>
      <c r="B24">
        <v>904.77</v>
      </c>
      <c r="C24">
        <v>75.4</v>
      </c>
      <c r="D24" s="36">
        <f t="shared" si="0"/>
        <v>5026.5</v>
      </c>
      <c r="E24" s="37">
        <f t="shared" si="1"/>
        <v>1105.83</v>
      </c>
    </row>
    <row r="25" spans="1:5" ht="12">
      <c r="A25">
        <v>4046.33</v>
      </c>
      <c r="B25">
        <v>904.77</v>
      </c>
      <c r="C25">
        <v>75.4</v>
      </c>
      <c r="D25" s="36">
        <f t="shared" si="0"/>
        <v>5026.5</v>
      </c>
      <c r="E25" s="37">
        <f t="shared" si="1"/>
        <v>1105.83</v>
      </c>
    </row>
    <row r="26" spans="1:5" ht="12">
      <c r="A26">
        <v>4164.9</v>
      </c>
      <c r="B26">
        <v>931.28</v>
      </c>
      <c r="C26">
        <v>77.6</v>
      </c>
      <c r="D26" s="36">
        <f t="shared" si="0"/>
        <v>5173.78</v>
      </c>
      <c r="E26" s="37">
        <f t="shared" si="1"/>
        <v>1138.2315999999998</v>
      </c>
    </row>
    <row r="27" spans="1:5" ht="12">
      <c r="A27">
        <v>3618.22</v>
      </c>
      <c r="B27">
        <v>809.04</v>
      </c>
      <c r="C27">
        <v>67.42</v>
      </c>
      <c r="D27" s="36">
        <f t="shared" si="0"/>
        <v>4494.68</v>
      </c>
      <c r="E27" s="37">
        <f t="shared" si="1"/>
        <v>988.8296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B13" sqref="B13"/>
    </sheetView>
  </sheetViews>
  <sheetFormatPr defaultColWidth="9.00390625" defaultRowHeight="12.75"/>
  <cols>
    <col min="2" max="2" width="10.50390625" style="0" customWidth="1"/>
    <col min="3" max="3" width="9.50390625" style="0" bestFit="1" customWidth="1"/>
    <col min="5" max="5" width="9.50390625" style="0" bestFit="1" customWidth="1"/>
  </cols>
  <sheetData>
    <row r="1" spans="2:4" ht="12">
      <c r="B1" t="s">
        <v>17</v>
      </c>
      <c r="C1" t="s">
        <v>18</v>
      </c>
      <c r="D1" t="s">
        <v>19</v>
      </c>
    </row>
    <row r="2" spans="1:5" ht="12">
      <c r="A2" t="s">
        <v>4</v>
      </c>
      <c r="B2" s="4">
        <v>10846.5</v>
      </c>
      <c r="C2" s="4">
        <v>47994.27</v>
      </c>
      <c r="D2">
        <f>2156.26+1199.03+5321.63+135</f>
        <v>8811.92</v>
      </c>
      <c r="E2" s="36">
        <f aca="true" t="shared" si="0" ref="E2:E13">B2+C2+D2</f>
        <v>67652.69</v>
      </c>
    </row>
    <row r="3" spans="1:5" ht="12">
      <c r="A3" t="s">
        <v>5</v>
      </c>
      <c r="B3" s="4">
        <v>15507.72</v>
      </c>
      <c r="C3" s="4">
        <v>14310.92</v>
      </c>
      <c r="D3" s="4">
        <f>2470+1278+279.3+1000+800.8</f>
        <v>5828.1</v>
      </c>
      <c r="E3" s="36">
        <f t="shared" si="0"/>
        <v>35646.74</v>
      </c>
    </row>
    <row r="4" spans="1:5" ht="12">
      <c r="A4" t="s">
        <v>6</v>
      </c>
      <c r="B4" s="4">
        <v>26412.87</v>
      </c>
      <c r="C4" s="4">
        <v>15115.2</v>
      </c>
      <c r="D4" s="4">
        <v>6974.83</v>
      </c>
      <c r="E4" s="36">
        <f t="shared" si="0"/>
        <v>48502.9</v>
      </c>
    </row>
    <row r="5" spans="1:5" ht="12">
      <c r="A5" t="s">
        <v>7</v>
      </c>
      <c r="B5" s="4">
        <v>29253.91</v>
      </c>
      <c r="C5" s="4">
        <v>11527.96</v>
      </c>
      <c r="D5" s="4">
        <f>271.6+682.65</f>
        <v>954.25</v>
      </c>
      <c r="E5" s="36">
        <f t="shared" si="0"/>
        <v>41736.119999999995</v>
      </c>
    </row>
    <row r="6" spans="1:5" ht="12">
      <c r="A6" t="s">
        <v>8</v>
      </c>
      <c r="B6" s="4">
        <v>9683.59</v>
      </c>
      <c r="C6" s="4">
        <v>64738.79</v>
      </c>
      <c r="D6" s="4">
        <f>300+252.1+282.7+595+512+94.8+298+87.6+188.2+668.4+2752.56+1140+3050</f>
        <v>10221.36</v>
      </c>
      <c r="E6" s="36">
        <f t="shared" si="0"/>
        <v>84643.74</v>
      </c>
    </row>
    <row r="7" spans="1:5" ht="12">
      <c r="A7" t="s">
        <v>9</v>
      </c>
      <c r="B7" s="4">
        <v>91027.4</v>
      </c>
      <c r="C7" s="4">
        <v>6868.27</v>
      </c>
      <c r="D7" s="4">
        <f>677.65+2400</f>
        <v>3077.65</v>
      </c>
      <c r="E7" s="36">
        <f t="shared" si="0"/>
        <v>100973.31999999999</v>
      </c>
    </row>
    <row r="8" spans="1:5" ht="12">
      <c r="A8" t="s">
        <v>10</v>
      </c>
      <c r="B8" s="4">
        <v>42838.76</v>
      </c>
      <c r="C8" s="4">
        <v>14760.49</v>
      </c>
      <c r="D8" s="4">
        <f>2400+5300+2000</f>
        <v>9700</v>
      </c>
      <c r="E8" s="36">
        <f t="shared" si="0"/>
        <v>67299.25</v>
      </c>
    </row>
    <row r="9" spans="1:5" ht="12">
      <c r="A9" t="s">
        <v>11</v>
      </c>
      <c r="B9" s="4">
        <v>12264.15</v>
      </c>
      <c r="C9" s="4">
        <v>2743.01</v>
      </c>
      <c r="D9" s="4">
        <f>252.1+509.17+2400+7147</f>
        <v>10308.27</v>
      </c>
      <c r="E9" s="36">
        <f t="shared" si="0"/>
        <v>25315.43</v>
      </c>
    </row>
    <row r="10" spans="1:5" ht="12">
      <c r="A10" t="s">
        <v>12</v>
      </c>
      <c r="B10" s="4">
        <v>15034.31</v>
      </c>
      <c r="C10" s="4">
        <v>46869.02</v>
      </c>
      <c r="D10" s="4">
        <f>368.5+635.4+46</f>
        <v>1049.9</v>
      </c>
      <c r="E10" s="36">
        <f t="shared" si="0"/>
        <v>62953.229999999996</v>
      </c>
    </row>
    <row r="11" spans="1:6" ht="12">
      <c r="A11" t="s">
        <v>13</v>
      </c>
      <c r="B11" s="4">
        <v>14740.2</v>
      </c>
      <c r="C11" s="4">
        <v>3718.44</v>
      </c>
      <c r="D11" s="4">
        <f>40+78+480+13680</f>
        <v>14278</v>
      </c>
      <c r="E11" s="36">
        <f t="shared" si="0"/>
        <v>32736.64</v>
      </c>
      <c r="F11" s="39"/>
    </row>
    <row r="12" spans="1:5" ht="12">
      <c r="A12" t="s">
        <v>14</v>
      </c>
      <c r="B12" s="4">
        <f>31087.67-1700</f>
        <v>29387.67</v>
      </c>
      <c r="C12" s="4">
        <v>17990.62</v>
      </c>
      <c r="D12" s="4">
        <f>20.4+8.9+550+1010.8+1900+3675+346+1199.4+207+298+199.9+1344.8</f>
        <v>10760.199999999999</v>
      </c>
      <c r="E12" s="36">
        <f t="shared" si="0"/>
        <v>58138.48999999999</v>
      </c>
    </row>
    <row r="13" spans="1:5" ht="12">
      <c r="A13" t="s">
        <v>15</v>
      </c>
      <c r="B13" s="4">
        <v>25664</v>
      </c>
      <c r="C13" s="4">
        <v>6904.51</v>
      </c>
      <c r="D13" s="4">
        <f>170+69+1550+759+225+399.8+221+150</f>
        <v>3543.8</v>
      </c>
      <c r="E13" s="36">
        <f t="shared" si="0"/>
        <v>36112.310000000005</v>
      </c>
    </row>
    <row r="14" spans="1:5" ht="20.25" customHeight="1">
      <c r="A14" t="s">
        <v>16</v>
      </c>
      <c r="B14" s="4">
        <f>SUM(B2:B13)</f>
        <v>322661.07999999996</v>
      </c>
      <c r="C14" s="4">
        <f>SUM(C2:C13)</f>
        <v>253541.5</v>
      </c>
      <c r="D14" s="4">
        <f>SUM(D2:D13)</f>
        <v>85508.28</v>
      </c>
      <c r="E14" s="36">
        <f>B14+C14+D14</f>
        <v>661710.86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HP</cp:lastModifiedBy>
  <cp:lastPrinted>2018-01-22T09:18:14Z</cp:lastPrinted>
  <dcterms:created xsi:type="dcterms:W3CDTF">2014-01-08T19:06:29Z</dcterms:created>
  <dcterms:modified xsi:type="dcterms:W3CDTF">2024-01-30T10:35:35Z</dcterms:modified>
  <cp:category/>
  <cp:version/>
  <cp:contentType/>
  <cp:contentStatus/>
</cp:coreProperties>
</file>